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208" windowHeight="7512" activeTab="3"/>
  </bookViews>
  <sheets>
    <sheet name="Jena-Horschel" sheetId="1" r:id="rId1"/>
    <sheet name="Jena-Gera" sheetId="2" r:id="rId2"/>
    <sheet name="GV-Nurnberg" sheetId="3" r:id="rId3"/>
    <sheet name="GV-Magdeburg" sheetId="4" r:id="rId4"/>
    <sheet name="MonthRates" sheetId="5" r:id="rId5"/>
  </sheets>
  <definedNames>
    <definedName name="RRMonths">'MonthRates'!$A$6:$A$58</definedName>
  </definedNames>
  <calcPr fullCalcOnLoad="1"/>
</workbook>
</file>

<file path=xl/comments1.xml><?xml version="1.0" encoding="utf-8"?>
<comments xmlns="http://schemas.openxmlformats.org/spreadsheetml/2006/main">
  <authors>
    <author>Iver Cooper</author>
  </authors>
  <commentList>
    <comment ref="K1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Can be neg if start and complete in same mo and start after 1st. </t>
        </r>
      </text>
    </comment>
    <comment ref="H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row of prior month, 
no +1 because this has to be exact match
</t>
        </r>
      </text>
    </comment>
    <comment ref="J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lost miles = end of month prior to start month
</t>
        </r>
      </text>
    </comment>
    <comment ref="M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first day of start month</t>
        </r>
      </text>
    </comment>
    <comment ref="J3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lost miles from day 1 of start month to day before start</t>
        </r>
      </text>
    </comment>
    <comment ref="O3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lost days in start month</t>
        </r>
      </text>
    </comment>
    <comment ref="Q4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+1 is wrong if lookup value = match value
</t>
        </r>
      </text>
    </comment>
    <comment ref="Q9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no +1 because this has to be exact match
</t>
        </r>
      </text>
    </comment>
  </commentList>
</comments>
</file>

<file path=xl/comments3.xml><?xml version="1.0" encoding="utf-8"?>
<comments xmlns="http://schemas.openxmlformats.org/spreadsheetml/2006/main">
  <authors>
    <author>Iver Cooper</author>
  </authors>
  <commentList>
    <comment ref="K1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Can be neg if start and complete in same mo and start after 1st. </t>
        </r>
      </text>
    </comment>
    <comment ref="H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row of prior month, 
no +1 because this has to be exact match
</t>
        </r>
      </text>
    </comment>
    <comment ref="J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lost miles = end of month prior to start month
</t>
        </r>
      </text>
    </comment>
    <comment ref="M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first day of start month</t>
        </r>
      </text>
    </comment>
    <comment ref="J3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lost miles from day 1 of start month to day before start</t>
        </r>
      </text>
    </comment>
    <comment ref="O3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lost days in start month</t>
        </r>
      </text>
    </comment>
    <comment ref="Q4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+1 is wrong if lookup value = match value
</t>
        </r>
      </text>
    </comment>
    <comment ref="Q2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no +1 because this has to be exact match
</t>
        </r>
      </text>
    </comment>
  </commentList>
</comments>
</file>

<file path=xl/comments4.xml><?xml version="1.0" encoding="utf-8"?>
<comments xmlns="http://schemas.openxmlformats.org/spreadsheetml/2006/main">
  <authors>
    <author>Iver Cooper</author>
  </authors>
  <commentList>
    <comment ref="H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row of prior month, 
no +1 because this has to be exact match
</t>
        </r>
      </text>
    </comment>
    <comment ref="Q2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no +1 because this has to be exact match
</t>
        </r>
      </text>
    </comment>
    <comment ref="Q4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+1 is wrong if lookup value = match value
</t>
        </r>
      </text>
    </comment>
    <comment ref="K1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Can be neg if start and complete in same mo and start after 1st. </t>
        </r>
      </text>
    </comment>
    <comment ref="J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lost miles = end of month prior to start month
</t>
        </r>
      </text>
    </comment>
    <comment ref="J3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lost miles from day 1 of start month to day before start</t>
        </r>
      </text>
    </comment>
    <comment ref="M2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first day of start month</t>
        </r>
      </text>
    </comment>
    <comment ref="O3" authorId="0">
      <text>
        <r>
          <rPr>
            <b/>
            <sz val="8"/>
            <rFont val="Tahoma"/>
            <family val="0"/>
          </rPr>
          <t>Iver Cooper:</t>
        </r>
        <r>
          <rPr>
            <sz val="8"/>
            <rFont val="Tahoma"/>
            <family val="0"/>
          </rPr>
          <t xml:space="preserve">
lost days in start month</t>
        </r>
      </text>
    </comment>
  </commentList>
</comments>
</file>

<file path=xl/sharedStrings.xml><?xml version="1.0" encoding="utf-8"?>
<sst xmlns="http://schemas.openxmlformats.org/spreadsheetml/2006/main" count="222" uniqueCount="87">
  <si>
    <t>Grantville</t>
  </si>
  <si>
    <t>Rudolstadt</t>
  </si>
  <si>
    <t>Jena</t>
  </si>
  <si>
    <t>Bad Kosen</t>
  </si>
  <si>
    <t>Naumberg</t>
  </si>
  <si>
    <t>Weissenfels</t>
  </si>
  <si>
    <t>Merseburg</t>
  </si>
  <si>
    <t>Schkopau</t>
  </si>
  <si>
    <t>Halle</t>
  </si>
  <si>
    <t>Feutschenthal</t>
  </si>
  <si>
    <t>Eisleben</t>
  </si>
  <si>
    <t>Helbra</t>
  </si>
  <si>
    <t>Kloster Mansfeld</t>
  </si>
  <si>
    <t>Hettstadt</t>
  </si>
  <si>
    <t>Stassfurt</t>
  </si>
  <si>
    <t>Salbke</t>
  </si>
  <si>
    <t>Buckau</t>
  </si>
  <si>
    <t>Magdeburg Central</t>
  </si>
  <si>
    <t>Rothensee</t>
  </si>
  <si>
    <t>Milepost</t>
  </si>
  <si>
    <t>Month</t>
  </si>
  <si>
    <t>Dummy Row</t>
  </si>
  <si>
    <t>Track Laying Rate (mi/wk)</t>
  </si>
  <si>
    <t xml:space="preserve">From </t>
  </si>
  <si>
    <t>To</t>
  </si>
  <si>
    <t>Actual Section Length (mi)</t>
  </si>
  <si>
    <t>Section Difficulty</t>
  </si>
  <si>
    <t>Effective Section Length</t>
  </si>
  <si>
    <t>Section Difficulty: 1 is average difficulty so normal tracklaying rate; higher #s more difficult so rate slower</t>
  </si>
  <si>
    <t>Enter tracklaying rates for each month on MonthRates page</t>
  </si>
  <si>
    <t>Working Down Completion Date</t>
  </si>
  <si>
    <t>Working Up Completion Date</t>
  </si>
  <si>
    <t>Start Date, Working Down Line</t>
  </si>
  <si>
    <t>Start Date, Working Up Line</t>
  </si>
  <si>
    <t>Days in Month</t>
  </si>
  <si>
    <t>Possible Effective Miles in Month</t>
  </si>
  <si>
    <t>Cumulative Possible Effective Miles in Month</t>
  </si>
  <si>
    <t>Cum Eff Length Up</t>
  </si>
  <si>
    <t>Match Row Up</t>
  </si>
  <si>
    <t>Cum Miles Done Month Up</t>
  </si>
  <si>
    <t>Cum Miles Done Month Dn</t>
  </si>
  <si>
    <t>Match Row Dn</t>
  </si>
  <si>
    <t>Cum Eff Length Dn</t>
  </si>
  <si>
    <t>Cumulative Possible Track Days by End Month</t>
  </si>
  <si>
    <t>First Date Completion Month</t>
  </si>
  <si>
    <t>Miles Needed in Completion Month</t>
  </si>
  <si>
    <t>Rate in Completion Month</t>
  </si>
  <si>
    <t>Days Since Start</t>
  </si>
  <si>
    <t>Day # in Month</t>
  </si>
  <si>
    <t>Test purposes</t>
  </si>
  <si>
    <t>1st Day</t>
  </si>
  <si>
    <t>Cum Eff Miles, from Constr Date</t>
  </si>
  <si>
    <t>Cum Eff Miles Nominal</t>
  </si>
  <si>
    <t>Match Miles Up</t>
  </si>
  <si>
    <t>Match Miles Dn</t>
  </si>
  <si>
    <t>First Date in Completion Month</t>
  </si>
  <si>
    <t>Saalfeld</t>
  </si>
  <si>
    <t>Probsizella</t>
  </si>
  <si>
    <t>Lauerstein</t>
  </si>
  <si>
    <t>Ludwigsstadt</t>
  </si>
  <si>
    <t>Rothenkirchen</t>
  </si>
  <si>
    <t>Stockheim</t>
  </si>
  <si>
    <t>Kronach</t>
  </si>
  <si>
    <t>Hochstadt</t>
  </si>
  <si>
    <t>Michelau</t>
  </si>
  <si>
    <t>Lichtenfels</t>
  </si>
  <si>
    <t>Hallstadt</t>
  </si>
  <si>
    <t>Bamberg</t>
  </si>
  <si>
    <t>Hirschaid</t>
  </si>
  <si>
    <t>Eggelsheim</t>
  </si>
  <si>
    <t>Forchheim</t>
  </si>
  <si>
    <t>Erlangen</t>
  </si>
  <si>
    <t>Furth</t>
  </si>
  <si>
    <t>Nurnberg</t>
  </si>
  <si>
    <t>Hermsdorf</t>
  </si>
  <si>
    <t>Gera</t>
  </si>
  <si>
    <t>Weimar</t>
  </si>
  <si>
    <t>Erfurt</t>
  </si>
  <si>
    <t>Gotha</t>
  </si>
  <si>
    <t>Eisenach</t>
  </si>
  <si>
    <t>Horschel</t>
  </si>
  <si>
    <t>Enter start date  in form MM/DD/19YY</t>
  </si>
  <si>
    <t>spreadsheet created by Iver Cooper.</t>
  </si>
  <si>
    <t>Track Laying Rates</t>
  </si>
  <si>
    <t>spreadsheet created by Iver Cooper</t>
  </si>
  <si>
    <t>Two-End Completion Date</t>
  </si>
  <si>
    <t>Two end date at B column station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</si>
</sst>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dd\-mmm\-yy"/>
    <numFmt numFmtId="167" formatCode="m/d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17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2" fillId="0" borderId="0" xfId="0" applyNumberFormat="1" applyFont="1" applyAlignment="1">
      <alignment wrapText="1"/>
    </xf>
    <xf numFmtId="2" fontId="0" fillId="0" borderId="0" xfId="0" applyNumberFormat="1" applyFill="1" applyAlignment="1">
      <alignment/>
    </xf>
    <xf numFmtId="0" fontId="2" fillId="0" borderId="0" xfId="0" applyFont="1" applyAlignment="1">
      <alignment wrapText="1"/>
    </xf>
    <xf numFmtId="1" fontId="3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166" fontId="1" fillId="2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7" fontId="0" fillId="0" borderId="0" xfId="0" applyNumberFormat="1" applyAlignment="1">
      <alignment wrapText="1"/>
    </xf>
    <xf numFmtId="167" fontId="3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0" fillId="3" borderId="0" xfId="0" applyNumberFormat="1" applyFill="1" applyAlignment="1">
      <alignment/>
    </xf>
    <xf numFmtId="2" fontId="2" fillId="0" borderId="0" xfId="0" applyNumberFormat="1" applyFont="1" applyAlignment="1">
      <alignment wrapText="1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D20" sqref="D20"/>
    </sheetView>
  </sheetViews>
  <sheetFormatPr defaultColWidth="9.140625" defaultRowHeight="12.75"/>
  <cols>
    <col min="4" max="4" width="7.7109375" style="0" customWidth="1"/>
    <col min="6" max="6" width="8.140625" style="0" hidden="1" customWidth="1"/>
    <col min="7" max="7" width="7.7109375" style="0" customWidth="1"/>
    <col min="8" max="12" width="0" style="0" hidden="1" customWidth="1"/>
    <col min="13" max="13" width="10.28125" style="0" hidden="1" customWidth="1"/>
    <col min="14" max="14" width="0" style="0" hidden="1" customWidth="1"/>
    <col min="15" max="15" width="10.28125" style="0" customWidth="1"/>
    <col min="16" max="16" width="7.421875" style="0" customWidth="1"/>
    <col min="17" max="21" width="0" style="0" hidden="1" customWidth="1"/>
    <col min="22" max="22" width="10.140625" style="0" hidden="1" customWidth="1"/>
    <col min="23" max="23" width="0" style="0" hidden="1" customWidth="1"/>
    <col min="24" max="24" width="9.8515625" style="0" customWidth="1"/>
  </cols>
  <sheetData>
    <row r="1" spans="1:24" ht="409.5">
      <c r="A1" s="1" t="s">
        <v>23</v>
      </c>
      <c r="B1" s="1" t="s">
        <v>24</v>
      </c>
      <c r="C1" s="1" t="s">
        <v>19</v>
      </c>
      <c r="D1" s="1" t="s">
        <v>25</v>
      </c>
      <c r="E1" s="1" t="s">
        <v>26</v>
      </c>
      <c r="F1" s="1" t="s">
        <v>27</v>
      </c>
      <c r="G1" s="1" t="s">
        <v>42</v>
      </c>
      <c r="H1" s="20" t="s">
        <v>41</v>
      </c>
      <c r="I1" s="31" t="s">
        <v>54</v>
      </c>
      <c r="J1" s="11" t="s">
        <v>40</v>
      </c>
      <c r="K1" s="11" t="s">
        <v>45</v>
      </c>
      <c r="L1" s="11" t="s">
        <v>46</v>
      </c>
      <c r="M1" s="27" t="s">
        <v>44</v>
      </c>
      <c r="N1" s="11" t="s">
        <v>47</v>
      </c>
      <c r="O1" s="3" t="s">
        <v>30</v>
      </c>
      <c r="P1" s="11" t="s">
        <v>37</v>
      </c>
      <c r="Q1" s="22" t="s">
        <v>38</v>
      </c>
      <c r="R1" s="22" t="s">
        <v>53</v>
      </c>
      <c r="S1" s="1" t="s">
        <v>39</v>
      </c>
      <c r="T1" s="1" t="s">
        <v>45</v>
      </c>
      <c r="U1" s="1" t="s">
        <v>46</v>
      </c>
      <c r="V1" s="1" t="s">
        <v>55</v>
      </c>
      <c r="W1" s="1" t="s">
        <v>47</v>
      </c>
      <c r="X1" s="1" t="s">
        <v>31</v>
      </c>
    </row>
    <row r="2" spans="1:16" ht="12.75">
      <c r="A2" s="14" t="s">
        <v>32</v>
      </c>
      <c r="C2">
        <v>0</v>
      </c>
      <c r="D2" s="14"/>
      <c r="F2">
        <v>0</v>
      </c>
      <c r="G2">
        <v>0</v>
      </c>
      <c r="H2" s="23">
        <f>MATCH($M$2,MonthRates!A$6:A$65,0)</f>
        <v>15</v>
      </c>
      <c r="I2" s="12"/>
      <c r="J2" s="15">
        <f ca="1">-OFFSET(MonthRates!E$6,H2-2,0,1,1)</f>
        <v>-80.17857142857142</v>
      </c>
      <c r="K2" s="15"/>
      <c r="L2" s="15"/>
      <c r="M2" s="26">
        <f>DATE(YEAR($O2),MONTH($O2),1)</f>
        <v>12114</v>
      </c>
      <c r="N2" s="17"/>
      <c r="O2" s="25">
        <v>12114</v>
      </c>
      <c r="P2" s="26"/>
    </row>
    <row r="3" spans="1:16" ht="12.75">
      <c r="A3" s="14"/>
      <c r="D3" s="14"/>
      <c r="H3" s="23"/>
      <c r="I3" s="15"/>
      <c r="J3" s="17">
        <f ca="1">-OFFSET(MonthRates!B$6,H2-1,0,1,1)*O3/7</f>
        <v>0</v>
      </c>
      <c r="K3" s="17"/>
      <c r="L3" s="17"/>
      <c r="M3" s="28"/>
      <c r="N3" s="17"/>
      <c r="O3" s="18">
        <f>O2-M2</f>
        <v>0</v>
      </c>
      <c r="P3" s="16"/>
    </row>
    <row r="4" spans="1:24" ht="12.75">
      <c r="A4" t="s">
        <v>2</v>
      </c>
      <c r="B4" t="s">
        <v>76</v>
      </c>
      <c r="C4">
        <v>2.7</v>
      </c>
      <c r="D4">
        <f>C4-C2</f>
        <v>2.7</v>
      </c>
      <c r="E4" s="8">
        <v>1</v>
      </c>
      <c r="F4">
        <f>D4*E4</f>
        <v>2.7</v>
      </c>
      <c r="G4">
        <f>G2+F4</f>
        <v>2.7</v>
      </c>
      <c r="H4" s="5">
        <f>MATCH(G4-$J$2-$J$3,MonthRates!$E$5:$E$65,1)+IF(ISNA(MATCH(G4-$J$2-$J$3,MonthRates!$E$5:$E$65,0)),1,0)</f>
        <v>16</v>
      </c>
      <c r="I4" s="12">
        <f>G4-$J$2-$J$3</f>
        <v>82.87857142857142</v>
      </c>
      <c r="J4" s="12">
        <f ca="1">OFFSET(MonthRates!$E$6,H4-2,0,1,1)</f>
        <v>87.92857142857142</v>
      </c>
      <c r="K4" s="12">
        <f ca="1">G4-$J$2-$J$3-OFFSET(MonthRates!$E$6,H4-3,0,1,1)</f>
        <v>2.700000000000003</v>
      </c>
      <c r="L4" s="12">
        <f ca="1">OFFSET(MonthRates!$B$6,H4-2,0,1,1)</f>
        <v>1.75</v>
      </c>
      <c r="M4" s="2">
        <f ca="1">OFFSET(MonthRates!$A$6,H4-2,0,1,1)</f>
        <v>12114</v>
      </c>
      <c r="N4" s="12">
        <f>K4*7/L4</f>
        <v>10.800000000000011</v>
      </c>
      <c r="O4" s="2">
        <f>M4-1+(K4*7/L4)</f>
        <v>12123.8</v>
      </c>
      <c r="P4" s="12">
        <f>P5+F4</f>
        <v>35</v>
      </c>
      <c r="Q4" s="5">
        <f>MATCH(P4-$S$9-$S$10,MonthRates!$E$5:$E$65,1)+1</f>
        <v>17</v>
      </c>
      <c r="R4" s="12">
        <f>P4-$S$9-$S$10</f>
        <v>89.46428571428571</v>
      </c>
      <c r="S4" s="12">
        <f ca="1">OFFSET(MonthRates!$E$6,Q4-2,0,1,1)</f>
        <v>95.42857142857142</v>
      </c>
      <c r="T4" s="12">
        <f ca="1">P4-$S$9-$S$10-OFFSET(MonthRates!$E$6,Q4-3,0,1,1)</f>
        <v>1.5357142857142918</v>
      </c>
      <c r="U4" s="12">
        <f ca="1">OFFSET(MonthRates!$B$6,Q4-2,0,1,1)</f>
        <v>1.75</v>
      </c>
      <c r="V4" s="2">
        <f ca="1">OFFSET(MonthRates!$A$6,Q4-2,0,1,1)</f>
        <v>12145</v>
      </c>
      <c r="W4" s="12">
        <f>T4*7/U4</f>
        <v>6.142857142857167</v>
      </c>
      <c r="X4" s="2">
        <f>V4-1+(T4*7/U4)</f>
        <v>12150.142857142857</v>
      </c>
    </row>
    <row r="5" spans="1:24" ht="12.75">
      <c r="A5" t="s">
        <v>76</v>
      </c>
      <c r="B5" t="s">
        <v>77</v>
      </c>
      <c r="C5">
        <v>17.2</v>
      </c>
      <c r="D5">
        <f>C5-C4</f>
        <v>14.5</v>
      </c>
      <c r="E5" s="8">
        <v>1</v>
      </c>
      <c r="F5">
        <f>D5*E5</f>
        <v>14.5</v>
      </c>
      <c r="G5">
        <f>G4+F5</f>
        <v>17.2</v>
      </c>
      <c r="H5" s="5">
        <f>MATCH(G5-$J$2-$J$3,MonthRates!$E$5:$E$65,1)+IF(ISNA(MATCH(G5-$J$2-$J$3,MonthRates!$E$5:$E$65,0)),1,0)</f>
        <v>18</v>
      </c>
      <c r="I5" s="12">
        <f>G5-$J$2-$J$3</f>
        <v>97.37857142857142</v>
      </c>
      <c r="J5" s="12">
        <f ca="1">OFFSET(MonthRates!$E$6,H5-2,0,1,1)</f>
        <v>103.17857142857142</v>
      </c>
      <c r="K5" s="12">
        <f ca="1">G5-$J$2-$J$3-OFFSET(MonthRates!$E$6,H5-3,0,1,1)</f>
        <v>1.9500000000000028</v>
      </c>
      <c r="L5" s="12">
        <f ca="1">OFFSET(MonthRates!$B$6,H5-2,0,1,1)</f>
        <v>1.75</v>
      </c>
      <c r="M5" s="2">
        <f ca="1">OFFSET(MonthRates!$A$6,H5-2,0,1,1)</f>
        <v>12175</v>
      </c>
      <c r="N5" s="12">
        <f>K5*7/L5</f>
        <v>7.800000000000011</v>
      </c>
      <c r="O5" s="2">
        <f>M5-1+(K5*7/L5)</f>
        <v>12181.8</v>
      </c>
      <c r="P5" s="12">
        <f>P6+F5</f>
        <v>32.3</v>
      </c>
      <c r="Q5" s="5">
        <f>MATCH(P5-$S$9-$S$10,MonthRates!$E$5:$E$65,1)+1</f>
        <v>16</v>
      </c>
      <c r="R5" s="12">
        <f>P5-$S$9-$S$10</f>
        <v>86.7642857142857</v>
      </c>
      <c r="S5" s="12">
        <f ca="1">OFFSET(MonthRates!$E$6,Q5-2,0,1,1)</f>
        <v>87.92857142857142</v>
      </c>
      <c r="T5" s="12">
        <f ca="1">P5-$S$9-$S$10-OFFSET(MonthRates!$E$6,Q5-3,0,1,1)</f>
        <v>6.585714285714289</v>
      </c>
      <c r="U5" s="12">
        <f ca="1">OFFSET(MonthRates!$B$6,Q5-2,0,1,1)</f>
        <v>1.75</v>
      </c>
      <c r="V5" s="2">
        <f ca="1">OFFSET(MonthRates!$A$6,Q5-2,0,1,1)</f>
        <v>12114</v>
      </c>
      <c r="W5" s="12">
        <f>T5*7/U5</f>
        <v>26.342857142857156</v>
      </c>
      <c r="X5" s="2">
        <f>V5-1+(T5*7/U5)</f>
        <v>12139.342857142858</v>
      </c>
    </row>
    <row r="6" spans="1:24" ht="12.75">
      <c r="A6" t="s">
        <v>77</v>
      </c>
      <c r="B6" t="s">
        <v>78</v>
      </c>
      <c r="C6">
        <v>19.7</v>
      </c>
      <c r="D6">
        <f>C6-C5</f>
        <v>2.5</v>
      </c>
      <c r="E6" s="8">
        <v>1</v>
      </c>
      <c r="F6">
        <f>D6*E6</f>
        <v>2.5</v>
      </c>
      <c r="G6">
        <f>G5+F6</f>
        <v>19.7</v>
      </c>
      <c r="H6" s="5">
        <f>MATCH(G6-$J$2-$J$3,MonthRates!$E$5:$E$65,1)+IF(ISNA(MATCH(G6-$J$2-$J$3,MonthRates!$E$5:$E$65,0)),1,0)</f>
        <v>18</v>
      </c>
      <c r="I6" s="12">
        <f>G6-$J$2-$J$3</f>
        <v>99.87857142857142</v>
      </c>
      <c r="J6" s="12">
        <f ca="1">OFFSET(MonthRates!$E$6,H6-2,0,1,1)</f>
        <v>103.17857142857142</v>
      </c>
      <c r="K6" s="12">
        <f ca="1">G6-$J$2-$J$3-OFFSET(MonthRates!$E$6,H6-3,0,1,1)</f>
        <v>4.450000000000003</v>
      </c>
      <c r="L6" s="12">
        <f ca="1">OFFSET(MonthRates!$B$6,H6-2,0,1,1)</f>
        <v>1.75</v>
      </c>
      <c r="M6" s="2">
        <f ca="1">OFFSET(MonthRates!$A$6,H6-2,0,1,1)</f>
        <v>12175</v>
      </c>
      <c r="N6" s="12">
        <f>K6*7/L6</f>
        <v>17.80000000000001</v>
      </c>
      <c r="O6" s="2">
        <f>M6-1+(K6*7/L6)</f>
        <v>12191.8</v>
      </c>
      <c r="P6" s="12">
        <f>P7+F6</f>
        <v>17.8</v>
      </c>
      <c r="Q6" s="5">
        <f>MATCH(P6-$S$9-$S$10,MonthRates!$E$5:$E$65,1)+1</f>
        <v>14</v>
      </c>
      <c r="R6" s="12">
        <f>P6-$S$9-$S$10</f>
        <v>72.2642857142857</v>
      </c>
      <c r="S6" s="12">
        <f ca="1">OFFSET(MonthRates!$E$6,Q6-2,0,1,1)</f>
        <v>74.17857142857142</v>
      </c>
      <c r="T6" s="12">
        <f ca="1">P6-$S$9-$S$10-OFFSET(MonthRates!$E$6,Q6-3,0,1,1)</f>
        <v>4.728571428571428</v>
      </c>
      <c r="U6" s="12">
        <f ca="1">OFFSET(MonthRates!$B$6,Q6-2,0,1,1)</f>
        <v>1.5</v>
      </c>
      <c r="V6" s="2">
        <f ca="1">OFFSET(MonthRates!$A$6,Q6-2,0,1,1)</f>
        <v>12055</v>
      </c>
      <c r="W6" s="12">
        <f>T6*7/U6</f>
        <v>22.066666666666663</v>
      </c>
      <c r="X6" s="2">
        <f>V6-1+(T6*7/U6)</f>
        <v>12076.066666666668</v>
      </c>
    </row>
    <row r="7" spans="1:24" ht="12.75">
      <c r="A7" t="s">
        <v>78</v>
      </c>
      <c r="B7" t="s">
        <v>79</v>
      </c>
      <c r="C7">
        <v>21.5</v>
      </c>
      <c r="D7">
        <f>C7-C6</f>
        <v>1.8000000000000007</v>
      </c>
      <c r="E7" s="8">
        <v>1</v>
      </c>
      <c r="F7">
        <f>D7*E7</f>
        <v>1.8000000000000007</v>
      </c>
      <c r="G7">
        <f>G6+F7</f>
        <v>21.5</v>
      </c>
      <c r="H7" s="5">
        <f>MATCH(G7-$J$2-$J$3,MonthRates!$E$5:$E$65,1)+IF(ISNA(MATCH(G7-$J$2-$J$3,MonthRates!$E$5:$E$65,0)),1,0)</f>
        <v>18</v>
      </c>
      <c r="I7" s="12">
        <f>G7-$J$2-$J$3</f>
        <v>101.67857142857142</v>
      </c>
      <c r="J7" s="12">
        <f ca="1">OFFSET(MonthRates!$E$6,H7-2,0,1,1)</f>
        <v>103.17857142857142</v>
      </c>
      <c r="K7" s="12">
        <f ca="1">G7-$J$2-$J$3-OFFSET(MonthRates!$E$6,H7-3,0,1,1)</f>
        <v>6.25</v>
      </c>
      <c r="L7" s="12">
        <f ca="1">OFFSET(MonthRates!$B$6,H7-2,0,1,1)</f>
        <v>1.75</v>
      </c>
      <c r="M7" s="2">
        <f ca="1">OFFSET(MonthRates!$A$6,H7-2,0,1,1)</f>
        <v>12175</v>
      </c>
      <c r="N7" s="12">
        <f>K7*7/L7</f>
        <v>25</v>
      </c>
      <c r="O7" s="2">
        <f>M7-1+(K7*7/L7)</f>
        <v>12199</v>
      </c>
      <c r="P7" s="12">
        <f>P8+F7</f>
        <v>15.3</v>
      </c>
      <c r="Q7" s="5">
        <f>MATCH(P7-$S$9-$S$10,MonthRates!$E$5:$E$65,1)+1</f>
        <v>14</v>
      </c>
      <c r="R7" s="12">
        <f>P7-$S$9-$S$10</f>
        <v>69.7642857142857</v>
      </c>
      <c r="S7" s="12">
        <f ca="1">OFFSET(MonthRates!$E$6,Q7-2,0,1,1)</f>
        <v>74.17857142857142</v>
      </c>
      <c r="T7" s="12">
        <f ca="1">P7-$S$9-$S$10-OFFSET(MonthRates!$E$6,Q7-3,0,1,1)</f>
        <v>2.2285714285714278</v>
      </c>
      <c r="U7" s="12">
        <f ca="1">OFFSET(MonthRates!$B$6,Q7-2,0,1,1)</f>
        <v>1.5</v>
      </c>
      <c r="V7" s="2">
        <f ca="1">OFFSET(MonthRates!$A$6,Q7-2,0,1,1)</f>
        <v>12055</v>
      </c>
      <c r="W7" s="12">
        <f>T7*7/U7</f>
        <v>10.399999999999997</v>
      </c>
      <c r="X7" s="2">
        <f>V7-1+(T7*7/U7)</f>
        <v>12064.4</v>
      </c>
    </row>
    <row r="8" spans="1:24" ht="12.75">
      <c r="A8" t="s">
        <v>79</v>
      </c>
      <c r="B8" t="s">
        <v>80</v>
      </c>
      <c r="C8">
        <v>35</v>
      </c>
      <c r="D8">
        <f>C8-C7</f>
        <v>13.5</v>
      </c>
      <c r="E8" s="8">
        <v>1</v>
      </c>
      <c r="F8">
        <f>D8*E8</f>
        <v>13.5</v>
      </c>
      <c r="G8">
        <f>G7+F8</f>
        <v>35</v>
      </c>
      <c r="H8" s="5">
        <f>MATCH(G8-$J$2-$J$3,MonthRates!$E$5:$E$65,1)+IF(ISNA(MATCH(G8-$J$2-$J$3,MonthRates!$E$5:$E$65,0)),1,0)</f>
        <v>20</v>
      </c>
      <c r="I8" s="12">
        <f>G8-$J$2-$J$3</f>
        <v>115.17857142857142</v>
      </c>
      <c r="J8" s="12">
        <f ca="1">OFFSET(MonthRates!$E$6,H8-2,0,1,1)</f>
        <v>118.42857142857142</v>
      </c>
      <c r="K8" s="12">
        <f ca="1">G8-$J$2-$J$3-OFFSET(MonthRates!$E$6,H8-3,0,1,1)</f>
        <v>4.5</v>
      </c>
      <c r="L8" s="12">
        <f ca="1">OFFSET(MonthRates!$B$6,H8-2,0,1,1)</f>
        <v>1.75</v>
      </c>
      <c r="M8" s="2">
        <f ca="1">OFFSET(MonthRates!$A$6,H8-2,0,1,1)</f>
        <v>12236</v>
      </c>
      <c r="N8" s="12">
        <f>K8*7/L8</f>
        <v>18</v>
      </c>
      <c r="O8" s="2">
        <f>M8-1+(K8*7/L8)</f>
        <v>12253</v>
      </c>
      <c r="P8" s="12">
        <f>P9+F8</f>
        <v>13.5</v>
      </c>
      <c r="Q8" s="5">
        <f>MATCH(P8-$S$9-$S$10,MonthRates!$E$5:$E$65,1)+1</f>
        <v>14</v>
      </c>
      <c r="R8" s="12">
        <f>P8-$S$9-$S$10</f>
        <v>67.96428571428571</v>
      </c>
      <c r="S8" s="12">
        <f ca="1">OFFSET(MonthRates!$E$6,Q8-2,0,1,1)</f>
        <v>74.17857142857142</v>
      </c>
      <c r="T8" s="12">
        <f ca="1">P8-$S$9-$S$10-OFFSET(MonthRates!$E$6,Q8-3,0,1,1)</f>
        <v>0.4285714285714306</v>
      </c>
      <c r="U8" s="12">
        <f ca="1">OFFSET(MonthRates!$B$6,Q8-2,0,1,1)</f>
        <v>1.5</v>
      </c>
      <c r="V8" s="2">
        <f ca="1">OFFSET(MonthRates!$A$6,Q8-2,0,1,1)</f>
        <v>12055</v>
      </c>
      <c r="W8" s="12">
        <f>T8*7/U8</f>
        <v>2.0000000000000093</v>
      </c>
      <c r="X8" s="2">
        <f>V8-1+(T8*7/U8)</f>
        <v>12056</v>
      </c>
    </row>
    <row r="9" spans="1:24" ht="12.75">
      <c r="A9" s="14" t="s">
        <v>33</v>
      </c>
      <c r="F9">
        <v>0</v>
      </c>
      <c r="G9">
        <v>0</v>
      </c>
      <c r="H9" s="5"/>
      <c r="I9" s="12"/>
      <c r="J9" s="15"/>
      <c r="K9" s="15"/>
      <c r="L9" s="15"/>
      <c r="M9" s="29"/>
      <c r="N9" s="12"/>
      <c r="O9" s="24"/>
      <c r="P9" s="21">
        <v>0</v>
      </c>
      <c r="Q9" s="23">
        <f>MATCH($V$9,MonthRates!A$6:A$65,0)</f>
        <v>11</v>
      </c>
      <c r="S9" s="15">
        <f ca="1">-OFFSET(MonthRates!E$6,Q9-2,0,1,1)</f>
        <v>-54.46428571428571</v>
      </c>
      <c r="T9" s="15"/>
      <c r="U9" s="15"/>
      <c r="V9" s="26">
        <f>DATE(YEAR($X9),MONTH($X9),1)</f>
        <v>11994</v>
      </c>
      <c r="W9" s="15"/>
      <c r="X9" s="25">
        <v>11994</v>
      </c>
    </row>
    <row r="10" spans="1:24" ht="12.75">
      <c r="A10" s="14"/>
      <c r="H10" s="5"/>
      <c r="I10" s="12"/>
      <c r="J10" s="17"/>
      <c r="K10" s="17"/>
      <c r="L10" s="17"/>
      <c r="M10" s="29"/>
      <c r="N10" s="12"/>
      <c r="O10" s="18">
        <f>O9-P10+1</f>
        <v>1</v>
      </c>
      <c r="P10" s="16"/>
      <c r="S10" s="17">
        <f ca="1">-OFFSET(MonthRates!B$6,Q9-1,0,1,1)*X10/7</f>
        <v>0</v>
      </c>
      <c r="V10" s="18"/>
      <c r="X10" s="18">
        <f>X9-V9</f>
        <v>0</v>
      </c>
    </row>
    <row r="11" spans="1:24" ht="12.75">
      <c r="A11" s="9" t="s">
        <v>28</v>
      </c>
      <c r="B11" s="9"/>
      <c r="C11" s="9"/>
      <c r="D11" s="9"/>
      <c r="E11" s="9"/>
      <c r="F11" s="9"/>
      <c r="G11" s="9"/>
      <c r="H11" s="19"/>
      <c r="I11" s="13"/>
      <c r="J11" s="13"/>
      <c r="K11" s="13"/>
      <c r="L11" s="13"/>
      <c r="M11" s="30"/>
      <c r="N11" s="13"/>
      <c r="O11" s="10"/>
      <c r="P11" s="13"/>
      <c r="Q11" s="9"/>
      <c r="R11" s="9"/>
      <c r="S11" s="9"/>
      <c r="T11" s="9"/>
      <c r="U11" s="9"/>
      <c r="V11" s="9"/>
      <c r="W11" s="9"/>
      <c r="X11" s="9"/>
    </row>
    <row r="12" spans="1:24" ht="12.75">
      <c r="A12" s="9" t="s">
        <v>29</v>
      </c>
      <c r="B12" s="9"/>
      <c r="C12" s="9"/>
      <c r="D12" s="9"/>
      <c r="E12" s="9"/>
      <c r="F12" s="9"/>
      <c r="G12" s="9"/>
      <c r="H12" s="19"/>
      <c r="I12" s="13"/>
      <c r="J12" s="13"/>
      <c r="K12" s="13"/>
      <c r="L12" s="13"/>
      <c r="M12" s="30"/>
      <c r="N12" s="13"/>
      <c r="O12" s="10"/>
      <c r="P12" s="13"/>
      <c r="Q12" s="9"/>
      <c r="R12" s="9"/>
      <c r="S12" s="9"/>
      <c r="T12" s="9"/>
      <c r="U12" s="9"/>
      <c r="V12" s="9"/>
      <c r="W12" s="9"/>
      <c r="X12" s="9"/>
    </row>
    <row r="13" spans="1:24" ht="12.75">
      <c r="A13" s="9" t="s">
        <v>81</v>
      </c>
      <c r="B13" s="9"/>
      <c r="C13" s="9"/>
      <c r="D13" s="9"/>
      <c r="E13" s="9"/>
      <c r="F13" s="9"/>
      <c r="G13" s="9"/>
      <c r="H13" s="19"/>
      <c r="I13" s="13"/>
      <c r="J13" s="13"/>
      <c r="K13" s="13"/>
      <c r="L13" s="13"/>
      <c r="M13" s="30"/>
      <c r="N13" s="13"/>
      <c r="O13" s="10"/>
      <c r="P13" s="13"/>
      <c r="Q13" s="9"/>
      <c r="R13" s="9"/>
      <c r="S13" s="9"/>
      <c r="T13" s="9"/>
      <c r="U13" s="9"/>
      <c r="V13" s="9"/>
      <c r="W13" s="9"/>
      <c r="X13" s="9"/>
    </row>
    <row r="14" spans="8:16" ht="12.75">
      <c r="H14" s="5"/>
      <c r="I14" s="12"/>
      <c r="J14" s="12"/>
      <c r="K14" s="12"/>
      <c r="L14" s="12"/>
      <c r="M14" s="29"/>
      <c r="N14" s="12"/>
      <c r="O14" s="2"/>
      <c r="P14" s="12"/>
    </row>
    <row r="15" ht="12.75">
      <c r="A15" s="33" t="s">
        <v>82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A12" sqref="A12"/>
    </sheetView>
  </sheetViews>
  <sheetFormatPr defaultColWidth="9.140625" defaultRowHeight="12.75"/>
  <cols>
    <col min="3" max="3" width="8.00390625" style="0" customWidth="1"/>
    <col min="4" max="4" width="7.28125" style="0" customWidth="1"/>
    <col min="5" max="5" width="8.00390625" style="0" customWidth="1"/>
    <col min="6" max="6" width="8.28125" style="0" hidden="1" customWidth="1"/>
    <col min="7" max="7" width="8.00390625" style="0" customWidth="1"/>
    <col min="8" max="12" width="0" style="0" hidden="1" customWidth="1"/>
    <col min="13" max="13" width="10.8515625" style="0" hidden="1" customWidth="1"/>
    <col min="14" max="14" width="0" style="0" hidden="1" customWidth="1"/>
    <col min="15" max="15" width="11.00390625" style="0" customWidth="1"/>
    <col min="16" max="16" width="7.7109375" style="0" customWidth="1"/>
    <col min="17" max="21" width="0" style="0" hidden="1" customWidth="1"/>
    <col min="22" max="22" width="11.421875" style="0" hidden="1" customWidth="1"/>
    <col min="23" max="23" width="0" style="0" hidden="1" customWidth="1"/>
    <col min="24" max="24" width="10.421875" style="0" customWidth="1"/>
  </cols>
  <sheetData>
    <row r="1" spans="1:24" ht="66">
      <c r="A1" s="1" t="s">
        <v>23</v>
      </c>
      <c r="B1" s="1" t="s">
        <v>24</v>
      </c>
      <c r="C1" s="1" t="s">
        <v>19</v>
      </c>
      <c r="D1" s="1" t="s">
        <v>25</v>
      </c>
      <c r="E1" s="1" t="s">
        <v>26</v>
      </c>
      <c r="F1" s="1" t="s">
        <v>27</v>
      </c>
      <c r="G1" s="1" t="s">
        <v>42</v>
      </c>
      <c r="H1" s="20" t="s">
        <v>41</v>
      </c>
      <c r="I1" s="31" t="s">
        <v>54</v>
      </c>
      <c r="J1" s="11" t="s">
        <v>40</v>
      </c>
      <c r="K1" s="11" t="s">
        <v>45</v>
      </c>
      <c r="L1" s="11" t="s">
        <v>46</v>
      </c>
      <c r="M1" s="27" t="s">
        <v>44</v>
      </c>
      <c r="N1" s="11" t="s">
        <v>47</v>
      </c>
      <c r="O1" s="3" t="s">
        <v>30</v>
      </c>
      <c r="P1" s="11" t="s">
        <v>37</v>
      </c>
      <c r="Q1" s="22" t="s">
        <v>38</v>
      </c>
      <c r="R1" s="22" t="s">
        <v>53</v>
      </c>
      <c r="S1" s="1" t="s">
        <v>39</v>
      </c>
      <c r="T1" s="1" t="s">
        <v>45</v>
      </c>
      <c r="U1" s="1" t="s">
        <v>46</v>
      </c>
      <c r="V1" s="1" t="s">
        <v>55</v>
      </c>
      <c r="W1" s="1" t="s">
        <v>47</v>
      </c>
      <c r="X1" s="1" t="s">
        <v>31</v>
      </c>
    </row>
    <row r="2" spans="1:16" ht="12.75">
      <c r="A2" s="14" t="s">
        <v>32</v>
      </c>
      <c r="C2">
        <v>0</v>
      </c>
      <c r="D2" s="14"/>
      <c r="F2">
        <v>0</v>
      </c>
      <c r="G2">
        <v>0</v>
      </c>
      <c r="H2" s="23">
        <f>MATCH($M$2,MonthRates!A$6:A$65,0)</f>
        <v>15</v>
      </c>
      <c r="I2" s="12"/>
      <c r="J2" s="15">
        <f ca="1">-OFFSET(MonthRates!E$6,H2-2,0,1,1)</f>
        <v>-80.17857142857142</v>
      </c>
      <c r="K2" s="15"/>
      <c r="L2" s="15"/>
      <c r="M2" s="26">
        <f>DATE(YEAR($O2),MONTH($O2),1)</f>
        <v>12114</v>
      </c>
      <c r="N2" s="17"/>
      <c r="O2" s="25">
        <v>12114</v>
      </c>
      <c r="P2" s="26"/>
    </row>
    <row r="3" spans="1:16" ht="12.75">
      <c r="A3" s="14"/>
      <c r="D3" s="14"/>
      <c r="H3" s="23"/>
      <c r="I3" s="15"/>
      <c r="J3" s="17">
        <f ca="1">-OFFSET(MonthRates!B$6,H2-1,0,1,1)*O3/7</f>
        <v>0</v>
      </c>
      <c r="K3" s="17"/>
      <c r="L3" s="17"/>
      <c r="M3" s="28"/>
      <c r="N3" s="17"/>
      <c r="O3" s="18">
        <f>O2-M2</f>
        <v>0</v>
      </c>
      <c r="P3" s="16">
        <v>0</v>
      </c>
    </row>
    <row r="4" spans="1:24" ht="12.75">
      <c r="A4" t="s">
        <v>2</v>
      </c>
      <c r="B4" t="s">
        <v>74</v>
      </c>
      <c r="C4">
        <v>12.5</v>
      </c>
      <c r="D4">
        <f>C4-C2</f>
        <v>12.5</v>
      </c>
      <c r="E4" s="8">
        <v>1</v>
      </c>
      <c r="F4">
        <f>D4*E4</f>
        <v>12.5</v>
      </c>
      <c r="G4">
        <f>G2+F4</f>
        <v>12.5</v>
      </c>
      <c r="H4" s="5">
        <f>MATCH(G4-$J$2-$J$3,MonthRates!$E$5:$E$65,1)+IF(ISNA(MATCH(G4-$J$2-$J$3,MonthRates!$E$5:$E$65,0)),1,0)</f>
        <v>17</v>
      </c>
      <c r="I4" s="12">
        <f>G4-$J$2-$J$3</f>
        <v>92.67857142857142</v>
      </c>
      <c r="J4" s="12">
        <f ca="1">OFFSET(MonthRates!$E$6,H4-2,0,1,1)</f>
        <v>95.42857142857142</v>
      </c>
      <c r="K4" s="12">
        <f ca="1">G4-$J$2-$J$3-OFFSET(MonthRates!$E$6,H4-3,0,1,1)</f>
        <v>4.75</v>
      </c>
      <c r="L4" s="12">
        <f ca="1">OFFSET(MonthRates!$B$6,H4-2,0,1,1)</f>
        <v>1.75</v>
      </c>
      <c r="M4" s="2">
        <f ca="1">OFFSET(MonthRates!$A$6,H4-2,0,1,1)</f>
        <v>12145</v>
      </c>
      <c r="N4" s="12">
        <f>K4*7/L4</f>
        <v>19</v>
      </c>
      <c r="O4" s="2">
        <f>M4-1+(K4*7/L4)</f>
        <v>12163</v>
      </c>
      <c r="P4" s="12">
        <f>P5+F4</f>
        <v>23</v>
      </c>
      <c r="Q4" s="5">
        <f>MATCH(P4-$S$6-$S$7,MonthRates!$E$5:$E$65,1)+1</f>
        <v>15</v>
      </c>
      <c r="R4" s="12">
        <f>P4-$S$6-$S$7</f>
        <v>77.46428571428571</v>
      </c>
      <c r="S4" s="12">
        <f ca="1">OFFSET(MonthRates!$E$6,Q4-2,0,1,1)</f>
        <v>80.17857142857142</v>
      </c>
      <c r="T4" s="12">
        <f ca="1">P4-$S$6-$S$7-OFFSET(MonthRates!$E$6,Q4-3,0,1,1)</f>
        <v>3.285714285714292</v>
      </c>
      <c r="U4" s="12">
        <f ca="1">OFFSET(MonthRates!$B$6,Q4-2,0,1,1)</f>
        <v>1.5</v>
      </c>
      <c r="V4" s="2">
        <f ca="1">OFFSET(MonthRates!$A$6,Q4-2,0,1,1)</f>
        <v>12086</v>
      </c>
      <c r="W4" s="12">
        <f>T4*7/U4</f>
        <v>15.333333333333362</v>
      </c>
      <c r="X4" s="2">
        <f>V4-1+(T4*7/U4)</f>
        <v>12100.333333333334</v>
      </c>
    </row>
    <row r="5" spans="1:24" ht="12.75">
      <c r="A5" t="s">
        <v>74</v>
      </c>
      <c r="B5" t="s">
        <v>75</v>
      </c>
      <c r="C5">
        <v>23</v>
      </c>
      <c r="D5">
        <f>C5-C4</f>
        <v>10.5</v>
      </c>
      <c r="E5" s="8">
        <v>1</v>
      </c>
      <c r="F5">
        <f>D5*E5</f>
        <v>10.5</v>
      </c>
      <c r="G5">
        <f>G4+F5</f>
        <v>23</v>
      </c>
      <c r="H5" s="5">
        <f>MATCH(G5-$J$2-$J$3,MonthRates!$E$5:$E$65,1)+IF(ISNA(MATCH(G5-$J$2-$J$3,MonthRates!$E$5:$E$65,0)),1,0)</f>
        <v>18</v>
      </c>
      <c r="I5" s="12">
        <f>G5-$J$2-$J$3</f>
        <v>103.17857142857142</v>
      </c>
      <c r="J5" s="12">
        <f ca="1">OFFSET(MonthRates!$E$6,H5-2,0,1,1)</f>
        <v>103.17857142857142</v>
      </c>
      <c r="K5" s="12">
        <f ca="1">G5-$J$2-$J$3-OFFSET(MonthRates!$E$6,H5-3,0,1,1)</f>
        <v>7.75</v>
      </c>
      <c r="L5" s="12">
        <f ca="1">OFFSET(MonthRates!$B$6,H5-2,0,1,1)</f>
        <v>1.75</v>
      </c>
      <c r="M5" s="2">
        <f ca="1">OFFSET(MonthRates!$A$6,H5-2,0,1,1)</f>
        <v>12175</v>
      </c>
      <c r="N5" s="12">
        <f>K5*7/L5</f>
        <v>31</v>
      </c>
      <c r="O5" s="2">
        <f>M5-1+(K5*7/L5)</f>
        <v>12205</v>
      </c>
      <c r="P5" s="12">
        <f>P6+F5</f>
        <v>10.5</v>
      </c>
      <c r="Q5" s="5">
        <f>MATCH(P5-$S$6-$S$7,MonthRates!$E$5:$E$65,1)+1</f>
        <v>13</v>
      </c>
      <c r="R5" s="12">
        <f>P5-$S$6-$S$7</f>
        <v>64.96428571428571</v>
      </c>
      <c r="S5" s="12">
        <f ca="1">OFFSET(MonthRates!$E$6,Q5-2,0,1,1)</f>
        <v>67.53571428571428</v>
      </c>
      <c r="T5" s="12">
        <f ca="1">P5-$S$6-$S$7-OFFSET(MonthRates!$E$6,Q5-3,0,1,1)</f>
        <v>4.071428571428569</v>
      </c>
      <c r="U5" s="12">
        <f ca="1">OFFSET(MonthRates!$B$6,Q5-2,0,1,1)</f>
        <v>1.5</v>
      </c>
      <c r="V5" s="2">
        <f ca="1">OFFSET(MonthRates!$A$6,Q5-2,0,1,1)</f>
        <v>12024</v>
      </c>
      <c r="W5" s="12">
        <f>T5*7/U5</f>
        <v>18.99999999999999</v>
      </c>
      <c r="X5" s="2">
        <f>V5-1+(T5*7/U5)</f>
        <v>12042</v>
      </c>
    </row>
    <row r="6" spans="1:24" ht="12.75">
      <c r="A6" s="14" t="s">
        <v>33</v>
      </c>
      <c r="F6">
        <v>0</v>
      </c>
      <c r="G6">
        <v>0</v>
      </c>
      <c r="H6" s="5"/>
      <c r="I6" s="12"/>
      <c r="J6" s="15"/>
      <c r="K6" s="15"/>
      <c r="L6" s="15"/>
      <c r="M6" s="29"/>
      <c r="N6" s="12"/>
      <c r="O6" s="24"/>
      <c r="P6" s="21">
        <v>0</v>
      </c>
      <c r="Q6" s="23">
        <f>MATCH($V$6,MonthRates!A$6:A$65,0)</f>
        <v>11</v>
      </c>
      <c r="S6" s="15">
        <f ca="1">-OFFSET(MonthRates!E$6,Q6-2,0,1,1)</f>
        <v>-54.46428571428571</v>
      </c>
      <c r="T6" s="15"/>
      <c r="U6" s="15"/>
      <c r="V6" s="26">
        <f>DATE(YEAR($X6),MONTH($X6),1)</f>
        <v>11994</v>
      </c>
      <c r="W6" s="15"/>
      <c r="X6" s="25">
        <v>11994</v>
      </c>
    </row>
    <row r="7" spans="1:24" ht="12.75">
      <c r="A7" s="14"/>
      <c r="H7" s="5"/>
      <c r="I7" s="12"/>
      <c r="J7" s="17"/>
      <c r="K7" s="17"/>
      <c r="L7" s="17"/>
      <c r="M7" s="29"/>
      <c r="N7" s="12"/>
      <c r="O7" s="18">
        <f>O6-P7+1</f>
        <v>1</v>
      </c>
      <c r="P7" s="16"/>
      <c r="S7" s="17">
        <f ca="1">-OFFSET(MonthRates!B$6,Q6-1,0,1,1)*X7/7</f>
        <v>0</v>
      </c>
      <c r="V7" s="18"/>
      <c r="X7" s="18">
        <f>X6-V6</f>
        <v>0</v>
      </c>
    </row>
    <row r="8" spans="1:24" ht="12.75">
      <c r="A8" s="9" t="s">
        <v>28</v>
      </c>
      <c r="B8" s="9"/>
      <c r="C8" s="9"/>
      <c r="D8" s="9"/>
      <c r="E8" s="9"/>
      <c r="F8" s="9"/>
      <c r="G8" s="9"/>
      <c r="H8" s="19"/>
      <c r="I8" s="13"/>
      <c r="J8" s="13"/>
      <c r="K8" s="13"/>
      <c r="L8" s="13"/>
      <c r="M8" s="30"/>
      <c r="N8" s="13"/>
      <c r="O8" s="10"/>
      <c r="P8" s="13"/>
      <c r="Q8" s="9"/>
      <c r="R8" s="9"/>
      <c r="S8" s="9"/>
      <c r="T8" s="9"/>
      <c r="U8" s="9"/>
      <c r="V8" s="9"/>
      <c r="W8" s="9"/>
      <c r="X8" s="9"/>
    </row>
    <row r="9" spans="1:24" ht="12.75">
      <c r="A9" s="9" t="s">
        <v>29</v>
      </c>
      <c r="B9" s="9"/>
      <c r="C9" s="9"/>
      <c r="D9" s="9"/>
      <c r="E9" s="9"/>
      <c r="F9" s="9"/>
      <c r="G9" s="9"/>
      <c r="H9" s="19"/>
      <c r="I9" s="13"/>
      <c r="J9" s="13"/>
      <c r="K9" s="13"/>
      <c r="L9" s="13"/>
      <c r="M9" s="30"/>
      <c r="N9" s="13"/>
      <c r="O9" s="10"/>
      <c r="P9" s="13"/>
      <c r="Q9" s="9"/>
      <c r="R9" s="9"/>
      <c r="S9" s="9"/>
      <c r="T9" s="9"/>
      <c r="U9" s="9"/>
      <c r="V9" s="9"/>
      <c r="W9" s="9"/>
      <c r="X9" s="9"/>
    </row>
    <row r="10" spans="1:24" ht="12.75">
      <c r="A10" s="9" t="s">
        <v>81</v>
      </c>
      <c r="B10" s="9"/>
      <c r="C10" s="9"/>
      <c r="D10" s="9"/>
      <c r="E10" s="9"/>
      <c r="F10" s="9"/>
      <c r="G10" s="9"/>
      <c r="H10" s="19"/>
      <c r="I10" s="13"/>
      <c r="J10" s="13"/>
      <c r="K10" s="13"/>
      <c r="L10" s="13"/>
      <c r="M10" s="30"/>
      <c r="N10" s="13"/>
      <c r="O10" s="10"/>
      <c r="P10" s="13"/>
      <c r="Q10" s="9"/>
      <c r="R10" s="9"/>
      <c r="S10" s="9"/>
      <c r="T10" s="9"/>
      <c r="U10" s="9"/>
      <c r="V10" s="9"/>
      <c r="W10" s="9"/>
      <c r="X10" s="9"/>
    </row>
    <row r="11" spans="8:16" ht="12.75">
      <c r="H11" s="5"/>
      <c r="I11" s="12"/>
      <c r="J11" s="12"/>
      <c r="K11" s="12"/>
      <c r="L11" s="12"/>
      <c r="M11" s="29"/>
      <c r="N11" s="12"/>
      <c r="O11" s="2"/>
      <c r="P11" s="12"/>
    </row>
    <row r="12" ht="12.75">
      <c r="A12" s="33" t="s">
        <v>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6">
      <selection activeCell="A28" sqref="A28"/>
    </sheetView>
  </sheetViews>
  <sheetFormatPr defaultColWidth="9.140625" defaultRowHeight="12.75"/>
  <cols>
    <col min="1" max="1" width="10.7109375" style="0" customWidth="1"/>
    <col min="2" max="2" width="12.8515625" style="0" customWidth="1"/>
    <col min="3" max="3" width="7.7109375" style="0" customWidth="1"/>
    <col min="4" max="4" width="6.7109375" style="0" customWidth="1"/>
    <col min="5" max="5" width="8.00390625" style="0" customWidth="1"/>
    <col min="6" max="6" width="0" style="0" hidden="1" customWidth="1"/>
    <col min="7" max="7" width="7.8515625" style="0" customWidth="1"/>
    <col min="8" max="12" width="0" style="0" hidden="1" customWidth="1"/>
    <col min="13" max="13" width="10.7109375" style="0" hidden="1" customWidth="1"/>
    <col min="14" max="14" width="0" style="0" hidden="1" customWidth="1"/>
    <col min="15" max="15" width="10.00390625" style="0" customWidth="1"/>
    <col min="16" max="16" width="7.57421875" style="0" customWidth="1"/>
    <col min="17" max="21" width="0" style="0" hidden="1" customWidth="1"/>
    <col min="22" max="22" width="10.28125" style="0" hidden="1" customWidth="1"/>
    <col min="23" max="23" width="0" style="0" hidden="1" customWidth="1"/>
    <col min="24" max="24" width="10.28125" style="0" customWidth="1"/>
  </cols>
  <sheetData>
    <row r="1" spans="1:24" ht="409.5">
      <c r="A1" s="1" t="s">
        <v>23</v>
      </c>
      <c r="B1" s="1" t="s">
        <v>24</v>
      </c>
      <c r="C1" s="1" t="s">
        <v>19</v>
      </c>
      <c r="D1" s="1" t="s">
        <v>25</v>
      </c>
      <c r="E1" s="1" t="s">
        <v>26</v>
      </c>
      <c r="F1" s="1" t="s">
        <v>27</v>
      </c>
      <c r="G1" s="1" t="s">
        <v>42</v>
      </c>
      <c r="H1" s="20" t="s">
        <v>41</v>
      </c>
      <c r="I1" s="31" t="s">
        <v>54</v>
      </c>
      <c r="J1" s="11" t="s">
        <v>40</v>
      </c>
      <c r="K1" s="11" t="s">
        <v>45</v>
      </c>
      <c r="L1" s="11" t="s">
        <v>46</v>
      </c>
      <c r="M1" s="27" t="s">
        <v>44</v>
      </c>
      <c r="N1" s="11" t="s">
        <v>47</v>
      </c>
      <c r="O1" s="3" t="s">
        <v>30</v>
      </c>
      <c r="P1" s="11" t="s">
        <v>37</v>
      </c>
      <c r="Q1" s="22" t="s">
        <v>38</v>
      </c>
      <c r="R1" s="22" t="s">
        <v>53</v>
      </c>
      <c r="S1" s="1" t="s">
        <v>39</v>
      </c>
      <c r="T1" s="1" t="s">
        <v>45</v>
      </c>
      <c r="U1" s="1" t="s">
        <v>46</v>
      </c>
      <c r="V1" s="1" t="s">
        <v>55</v>
      </c>
      <c r="W1" s="1" t="s">
        <v>47</v>
      </c>
      <c r="X1" s="1" t="s">
        <v>31</v>
      </c>
    </row>
    <row r="2" spans="1:16" ht="12.75">
      <c r="A2" s="14" t="s">
        <v>32</v>
      </c>
      <c r="C2">
        <v>0</v>
      </c>
      <c r="D2" s="14"/>
      <c r="F2">
        <v>0</v>
      </c>
      <c r="G2">
        <v>0</v>
      </c>
      <c r="H2" s="23">
        <f>MATCH($M$2,MonthRates!A$6:A$65,0)</f>
        <v>38</v>
      </c>
      <c r="I2" s="12"/>
      <c r="J2" s="15">
        <f ca="1">-OFFSET(MonthRates!E$6,H2-2,0,1,1)</f>
        <v>-216.78571428571428</v>
      </c>
      <c r="K2" s="15"/>
      <c r="L2" s="15"/>
      <c r="M2" s="26">
        <f>DATE(YEAR($O2),MONTH($O2),1)</f>
        <v>12816</v>
      </c>
      <c r="N2" s="17"/>
      <c r="O2" s="25">
        <v>12816</v>
      </c>
      <c r="P2" s="26"/>
    </row>
    <row r="3" spans="1:16" ht="12.75">
      <c r="A3" s="14"/>
      <c r="D3" s="14"/>
      <c r="H3" s="23"/>
      <c r="I3" s="15"/>
      <c r="J3" s="17">
        <f ca="1">-OFFSET(MonthRates!B$6,H2-1,0,1,1)*O3/7</f>
        <v>0</v>
      </c>
      <c r="K3" s="17"/>
      <c r="L3" s="17"/>
      <c r="M3" s="28"/>
      <c r="N3" s="17"/>
      <c r="O3" s="18">
        <f>O2-M2</f>
        <v>0</v>
      </c>
      <c r="P3" s="16"/>
    </row>
    <row r="4" spans="1:24" ht="12.75">
      <c r="A4" t="s">
        <v>0</v>
      </c>
      <c r="B4" t="s">
        <v>56</v>
      </c>
      <c r="C4">
        <v>2.7</v>
      </c>
      <c r="D4">
        <f>C4-C2</f>
        <v>2.7</v>
      </c>
      <c r="E4" s="8">
        <v>1</v>
      </c>
      <c r="F4">
        <f>D4*E4</f>
        <v>2.7</v>
      </c>
      <c r="G4">
        <f>G2+F4</f>
        <v>2.7</v>
      </c>
      <c r="H4" s="5">
        <f>MATCH(G4-$J$2-$J$3,MonthRates!$E$5:$E$65,1)+IF(ISNA(MATCH(G4-$J$2-$J$3,MonthRates!$E$5:$E$65,0)),1,0)</f>
        <v>39</v>
      </c>
      <c r="I4" s="12">
        <f>G4-$J$2-$J$3</f>
        <v>219.48571428571427</v>
      </c>
      <c r="J4" s="12">
        <f ca="1">OFFSET(MonthRates!$E$6,H4-2,0,1,1)</f>
        <v>222.78571428571428</v>
      </c>
      <c r="K4" s="12">
        <f ca="1">G4-$J$2-$J$3-OFFSET(MonthRates!$E$6,H4-3,0,1,1)</f>
        <v>2.6999999999999886</v>
      </c>
      <c r="L4" s="12">
        <f ca="1">OFFSET(MonthRates!$B$6,H4-2,0,1,1)</f>
        <v>1.5</v>
      </c>
      <c r="M4" s="2">
        <f ca="1">OFFSET(MonthRates!$A$6,H4-2,0,1,1)</f>
        <v>12816</v>
      </c>
      <c r="N4" s="12">
        <f aca="true" t="shared" si="0" ref="N4:N21">K4*7/L4</f>
        <v>12.599999999999946</v>
      </c>
      <c r="O4" s="2">
        <f aca="true" t="shared" si="1" ref="O4:O21">M4-1+(K4*7/L4)</f>
        <v>12827.6</v>
      </c>
      <c r="P4" s="12">
        <f aca="true" t="shared" si="2" ref="P4:P21">P5+F4</f>
        <v>117</v>
      </c>
      <c r="Q4" s="5">
        <f>MATCH(P4-$S$22-$S$23,MonthRates!$E$5:$E$65,1)+1</f>
        <v>55</v>
      </c>
      <c r="R4" s="12">
        <f>P4-$S$22-$S$23</f>
        <v>333.7857142857143</v>
      </c>
      <c r="S4" s="12">
        <f ca="1">OFFSET(MonthRates!$E$6,Q4-2,0,1,1)</f>
        <v>339.35714285714295</v>
      </c>
      <c r="T4" s="12">
        <f ca="1">P4-$S$22-$S$23-OFFSET(MonthRates!$E$6,Q4-3,0,1,1)</f>
        <v>1.9285714285713311</v>
      </c>
      <c r="U4" s="12">
        <f ca="1">OFFSET(MonthRates!$B$6,Q4-2,0,1,1)</f>
        <v>1.75</v>
      </c>
      <c r="V4" s="2">
        <f ca="1">OFFSET(MonthRates!$A$6,Q4-2,0,1,1)</f>
        <v>13302</v>
      </c>
      <c r="W4" s="12">
        <f>T4*7/U4</f>
        <v>7.7142857142853245</v>
      </c>
      <c r="X4" s="2">
        <f>V4-1+(T4*7/U4)</f>
        <v>13308.714285714286</v>
      </c>
    </row>
    <row r="5" spans="1:24" ht="12.75">
      <c r="A5" t="s">
        <v>56</v>
      </c>
      <c r="B5" t="s">
        <v>57</v>
      </c>
      <c r="C5">
        <v>17.2</v>
      </c>
      <c r="D5">
        <f aca="true" t="shared" si="3" ref="D5:D21">C5-C4</f>
        <v>14.5</v>
      </c>
      <c r="E5" s="8">
        <v>1</v>
      </c>
      <c r="F5">
        <f aca="true" t="shared" si="4" ref="F5:F21">D5*E5</f>
        <v>14.5</v>
      </c>
      <c r="G5">
        <f aca="true" t="shared" si="5" ref="G5:G21">G4+F5</f>
        <v>17.2</v>
      </c>
      <c r="H5" s="5">
        <f>MATCH(G5-$J$2-$J$3,MonthRates!$E$5:$E$65,1)+IF(ISNA(MATCH(G5-$J$2-$J$3,MonthRates!$E$5:$E$65,0)),1,0)</f>
        <v>41</v>
      </c>
      <c r="I5" s="12">
        <f aca="true" t="shared" si="6" ref="I5:I21">G5-$J$2-$J$3</f>
        <v>233.98571428571427</v>
      </c>
      <c r="J5" s="12">
        <f ca="1">OFFSET(MonthRates!$E$6,H5-2,0,1,1)</f>
        <v>238.03571428571428</v>
      </c>
      <c r="K5" s="12">
        <f ca="1">G5-$J$2-$J$3-OFFSET(MonthRates!$E$6,H5-3,0,1,1)</f>
        <v>3.4499999999999886</v>
      </c>
      <c r="L5" s="12">
        <f ca="1">OFFSET(MonthRates!$B$6,H5-2,0,1,1)</f>
        <v>1.75</v>
      </c>
      <c r="M5" s="2">
        <f ca="1">OFFSET(MonthRates!$A$6,H5-2,0,1,1)</f>
        <v>12875</v>
      </c>
      <c r="N5" s="12">
        <f t="shared" si="0"/>
        <v>13.799999999999955</v>
      </c>
      <c r="O5" s="2">
        <f t="shared" si="1"/>
        <v>12887.8</v>
      </c>
      <c r="P5" s="12">
        <f t="shared" si="2"/>
        <v>114.3</v>
      </c>
      <c r="Q5" s="5">
        <f>MATCH(P5-$S$22-$S$23,MonthRates!$E$5:$E$65,1)+1</f>
        <v>54</v>
      </c>
      <c r="R5" s="12">
        <f aca="true" t="shared" si="7" ref="R5:R21">P5-$S$22-$S$23</f>
        <v>331.0857142857143</v>
      </c>
      <c r="S5" s="12">
        <f ca="1">OFFSET(MonthRates!$E$6,Q5-2,0,1,1)</f>
        <v>331.85714285714295</v>
      </c>
      <c r="T5" s="12">
        <f ca="1">P5-$S$22-$S$23-OFFSET(MonthRates!$E$6,Q5-3,0,1,1)</f>
        <v>6.9785714285713425</v>
      </c>
      <c r="U5" s="12">
        <f ca="1">OFFSET(MonthRates!$B$6,Q5-2,0,1,1)</f>
        <v>1.75</v>
      </c>
      <c r="V5" s="2">
        <f ca="1">OFFSET(MonthRates!$A$6,Q5-2,0,1,1)</f>
        <v>13271</v>
      </c>
      <c r="W5" s="12">
        <f aca="true" t="shared" si="8" ref="W5:W21">T5*7/U5</f>
        <v>27.91428571428537</v>
      </c>
      <c r="X5" s="2">
        <f aca="true" t="shared" si="9" ref="X5:X21">V5-1+(T5*7/U5)</f>
        <v>13297.914285714285</v>
      </c>
    </row>
    <row r="6" spans="1:24" ht="12.75">
      <c r="A6" t="s">
        <v>57</v>
      </c>
      <c r="B6" t="s">
        <v>58</v>
      </c>
      <c r="C6">
        <v>19.7</v>
      </c>
      <c r="D6">
        <f t="shared" si="3"/>
        <v>2.5</v>
      </c>
      <c r="E6" s="8">
        <v>1</v>
      </c>
      <c r="F6">
        <f t="shared" si="4"/>
        <v>2.5</v>
      </c>
      <c r="G6">
        <f t="shared" si="5"/>
        <v>19.7</v>
      </c>
      <c r="H6" s="5">
        <f>MATCH(G6-$J$2-$J$3,MonthRates!$E$5:$E$65,1)+IF(ISNA(MATCH(G6-$J$2-$J$3,MonthRates!$E$5:$E$65,0)),1,0)</f>
        <v>41</v>
      </c>
      <c r="I6" s="12">
        <f t="shared" si="6"/>
        <v>236.48571428571427</v>
      </c>
      <c r="J6" s="12">
        <f ca="1">OFFSET(MonthRates!$E$6,H6-2,0,1,1)</f>
        <v>238.03571428571428</v>
      </c>
      <c r="K6" s="12">
        <f ca="1">G6-$J$2-$J$3-OFFSET(MonthRates!$E$6,H6-3,0,1,1)</f>
        <v>5.949999999999989</v>
      </c>
      <c r="L6" s="12">
        <f ca="1">OFFSET(MonthRates!$B$6,H6-2,0,1,1)</f>
        <v>1.75</v>
      </c>
      <c r="M6" s="2">
        <f ca="1">OFFSET(MonthRates!$A$6,H6-2,0,1,1)</f>
        <v>12875</v>
      </c>
      <c r="N6" s="12">
        <f t="shared" si="0"/>
        <v>23.799999999999955</v>
      </c>
      <c r="O6" s="2">
        <f t="shared" si="1"/>
        <v>12897.8</v>
      </c>
      <c r="P6" s="12">
        <f t="shared" si="2"/>
        <v>99.8</v>
      </c>
      <c r="Q6" s="5">
        <f>MATCH(P6-$S$22-$S$23,MonthRates!$E$5:$E$65,1)+1</f>
        <v>52</v>
      </c>
      <c r="R6" s="12">
        <f t="shared" si="7"/>
        <v>316.5857142857143</v>
      </c>
      <c r="S6" s="12">
        <f ca="1">OFFSET(MonthRates!$E$6,Q6-2,0,1,1)</f>
        <v>316.60714285714295</v>
      </c>
      <c r="T6" s="12">
        <f ca="1">P6-$S$22-$S$23-OFFSET(MonthRates!$E$6,Q6-3,0,1,1)</f>
        <v>6.62142857142851</v>
      </c>
      <c r="U6" s="12">
        <f ca="1">OFFSET(MonthRates!$B$6,Q6-2,0,1,1)</f>
        <v>1.5</v>
      </c>
      <c r="V6" s="2">
        <f ca="1">OFFSET(MonthRates!$A$6,Q6-2,0,1,1)</f>
        <v>13210</v>
      </c>
      <c r="W6" s="12">
        <f t="shared" si="8"/>
        <v>30.89999999999971</v>
      </c>
      <c r="X6" s="2">
        <f t="shared" si="9"/>
        <v>13239.9</v>
      </c>
    </row>
    <row r="7" spans="1:24" ht="12.75">
      <c r="A7" t="s">
        <v>58</v>
      </c>
      <c r="B7" t="s">
        <v>59</v>
      </c>
      <c r="C7">
        <v>21.5</v>
      </c>
      <c r="D7">
        <f t="shared" si="3"/>
        <v>1.8000000000000007</v>
      </c>
      <c r="E7" s="8">
        <v>1</v>
      </c>
      <c r="F7">
        <f t="shared" si="4"/>
        <v>1.8000000000000007</v>
      </c>
      <c r="G7">
        <f t="shared" si="5"/>
        <v>21.5</v>
      </c>
      <c r="H7" s="5">
        <f>MATCH(G7-$J$2-$J$3,MonthRates!$E$5:$E$65,1)+IF(ISNA(MATCH(G7-$J$2-$J$3,MonthRates!$E$5:$E$65,0)),1,0)</f>
        <v>42</v>
      </c>
      <c r="I7" s="12">
        <f t="shared" si="6"/>
        <v>238.28571428571428</v>
      </c>
      <c r="J7" s="12">
        <f ca="1">OFFSET(MonthRates!$E$6,H7-2,0,1,1)</f>
        <v>245.78571428571428</v>
      </c>
      <c r="K7" s="12">
        <f ca="1">G7-$J$2-$J$3-OFFSET(MonthRates!$E$6,H7-3,0,1,1)</f>
        <v>0.25</v>
      </c>
      <c r="L7" s="12">
        <f ca="1">OFFSET(MonthRates!$B$6,H7-2,0,1,1)</f>
        <v>1.75</v>
      </c>
      <c r="M7" s="2">
        <f ca="1">OFFSET(MonthRates!$A$6,H7-2,0,1,1)</f>
        <v>12905</v>
      </c>
      <c r="N7" s="12">
        <f t="shared" si="0"/>
        <v>1</v>
      </c>
      <c r="O7" s="2">
        <f t="shared" si="1"/>
        <v>12905</v>
      </c>
      <c r="P7" s="12">
        <f t="shared" si="2"/>
        <v>97.3</v>
      </c>
      <c r="Q7" s="5">
        <f>MATCH(P7-$S$22-$S$23,MonthRates!$E$5:$E$65,1)+1</f>
        <v>52</v>
      </c>
      <c r="R7" s="12">
        <f t="shared" si="7"/>
        <v>314.0857142857143</v>
      </c>
      <c r="S7" s="12">
        <f ca="1">OFFSET(MonthRates!$E$6,Q7-2,0,1,1)</f>
        <v>316.60714285714295</v>
      </c>
      <c r="T7" s="12">
        <f ca="1">P7-$S$22-$S$23-OFFSET(MonthRates!$E$6,Q7-3,0,1,1)</f>
        <v>4.12142857142851</v>
      </c>
      <c r="U7" s="12">
        <f ca="1">OFFSET(MonthRates!$B$6,Q7-2,0,1,1)</f>
        <v>1.5</v>
      </c>
      <c r="V7" s="2">
        <f ca="1">OFFSET(MonthRates!$A$6,Q7-2,0,1,1)</f>
        <v>13210</v>
      </c>
      <c r="W7" s="12">
        <f t="shared" si="8"/>
        <v>19.233333333333047</v>
      </c>
      <c r="X7" s="2">
        <f t="shared" si="9"/>
        <v>13228.233333333334</v>
      </c>
    </row>
    <row r="8" spans="1:24" ht="12.75">
      <c r="A8" t="s">
        <v>59</v>
      </c>
      <c r="B8" t="s">
        <v>60</v>
      </c>
      <c r="C8">
        <v>35</v>
      </c>
      <c r="D8">
        <f t="shared" si="3"/>
        <v>13.5</v>
      </c>
      <c r="E8" s="8">
        <v>1</v>
      </c>
      <c r="F8">
        <f t="shared" si="4"/>
        <v>13.5</v>
      </c>
      <c r="G8">
        <f t="shared" si="5"/>
        <v>35</v>
      </c>
      <c r="H8" s="5">
        <f>MATCH(G8-$J$2-$J$3,MonthRates!$E$5:$E$65,1)+IF(ISNA(MATCH(G8-$J$2-$J$3,MonthRates!$E$5:$E$65,0)),1,0)</f>
        <v>43</v>
      </c>
      <c r="I8" s="12">
        <f t="shared" si="6"/>
        <v>251.78571428571428</v>
      </c>
      <c r="J8" s="12">
        <f ca="1">OFFSET(MonthRates!$E$6,H8-2,0,1,1)</f>
        <v>253.28571428571428</v>
      </c>
      <c r="K8" s="12">
        <f ca="1">G8-$J$2-$J$3-OFFSET(MonthRates!$E$6,H8-3,0,1,1)</f>
        <v>6</v>
      </c>
      <c r="L8" s="12">
        <f ca="1">OFFSET(MonthRates!$B$6,H8-2,0,1,1)</f>
        <v>1.75</v>
      </c>
      <c r="M8" s="2">
        <f ca="1">OFFSET(MonthRates!$A$6,H8-2,0,1,1)</f>
        <v>12936</v>
      </c>
      <c r="N8" s="12">
        <f t="shared" si="0"/>
        <v>24</v>
      </c>
      <c r="O8" s="2">
        <f t="shared" si="1"/>
        <v>12959</v>
      </c>
      <c r="P8" s="12">
        <f t="shared" si="2"/>
        <v>95.5</v>
      </c>
      <c r="Q8" s="5">
        <f>MATCH(P8-$S$22-$S$23,MonthRates!$E$5:$E$65,1)+1</f>
        <v>52</v>
      </c>
      <c r="R8" s="12">
        <f t="shared" si="7"/>
        <v>312.2857142857143</v>
      </c>
      <c r="S8" s="12">
        <f ca="1">OFFSET(MonthRates!$E$6,Q8-2,0,1,1)</f>
        <v>316.60714285714295</v>
      </c>
      <c r="T8" s="12">
        <f ca="1">P8-$S$22-$S$23-OFFSET(MonthRates!$E$6,Q8-3,0,1,1)</f>
        <v>2.3214285714284983</v>
      </c>
      <c r="U8" s="12">
        <f ca="1">OFFSET(MonthRates!$B$6,Q8-2,0,1,1)</f>
        <v>1.5</v>
      </c>
      <c r="V8" s="2">
        <f ca="1">OFFSET(MonthRates!$A$6,Q8-2,0,1,1)</f>
        <v>13210</v>
      </c>
      <c r="W8" s="12">
        <f t="shared" si="8"/>
        <v>10.833333333332993</v>
      </c>
      <c r="X8" s="2">
        <f t="shared" si="9"/>
        <v>13219.833333333332</v>
      </c>
    </row>
    <row r="9" spans="1:24" ht="12.75">
      <c r="A9" t="s">
        <v>60</v>
      </c>
      <c r="B9" t="s">
        <v>61</v>
      </c>
      <c r="C9">
        <v>39</v>
      </c>
      <c r="D9">
        <f t="shared" si="3"/>
        <v>4</v>
      </c>
      <c r="E9" s="8">
        <v>1</v>
      </c>
      <c r="F9">
        <f t="shared" si="4"/>
        <v>4</v>
      </c>
      <c r="G9">
        <f t="shared" si="5"/>
        <v>39</v>
      </c>
      <c r="H9" s="5">
        <f>MATCH(G9-$J$2-$J$3,MonthRates!$E$5:$E$65,1)+IF(ISNA(MATCH(G9-$J$2-$J$3,MonthRates!$E$5:$E$65,0)),1,0)</f>
        <v>44</v>
      </c>
      <c r="I9" s="12">
        <f t="shared" si="6"/>
        <v>255.78571428571428</v>
      </c>
      <c r="J9" s="12">
        <f ca="1">OFFSET(MonthRates!$E$6,H9-2,0,1,1)</f>
        <v>261.0357142857143</v>
      </c>
      <c r="K9" s="12">
        <f ca="1">G9-$J$2-$J$3-OFFSET(MonthRates!$E$6,H9-3,0,1,1)</f>
        <v>2.5</v>
      </c>
      <c r="L9" s="12">
        <f ca="1">OFFSET(MonthRates!$B$6,H9-2,0,1,1)</f>
        <v>1.75</v>
      </c>
      <c r="M9" s="2">
        <f ca="1">OFFSET(MonthRates!$A$6,H9-2,0,1,1)</f>
        <v>12966</v>
      </c>
      <c r="N9" s="12">
        <f t="shared" si="0"/>
        <v>10</v>
      </c>
      <c r="O9" s="2">
        <f t="shared" si="1"/>
        <v>12975</v>
      </c>
      <c r="P9" s="12">
        <f t="shared" si="2"/>
        <v>82</v>
      </c>
      <c r="Q9" s="5">
        <f>MATCH(P9-$S$22-$S$23,MonthRates!$E$5:$E$65,1)+1</f>
        <v>50</v>
      </c>
      <c r="R9" s="12">
        <f t="shared" si="7"/>
        <v>298.7857142857143</v>
      </c>
      <c r="S9" s="12">
        <f ca="1">OFFSET(MonthRates!$E$6,Q9-2,0,1,1)</f>
        <v>303.75000000000006</v>
      </c>
      <c r="T9" s="12">
        <f ca="1">P9-$S$22-$S$23-OFFSET(MonthRates!$E$6,Q9-3,0,1,1)</f>
        <v>1.678571428571388</v>
      </c>
      <c r="U9" s="12">
        <f ca="1">OFFSET(MonthRates!$B$6,Q9-2,0,1,1)</f>
        <v>1.5</v>
      </c>
      <c r="V9" s="2">
        <f ca="1">OFFSET(MonthRates!$A$6,Q9-2,0,1,1)</f>
        <v>13150</v>
      </c>
      <c r="W9" s="12">
        <f t="shared" si="8"/>
        <v>7.833333333333144</v>
      </c>
      <c r="X9" s="2">
        <f t="shared" si="9"/>
        <v>13156.833333333334</v>
      </c>
    </row>
    <row r="10" spans="1:24" ht="12.75">
      <c r="A10" t="s">
        <v>61</v>
      </c>
      <c r="B10" t="s">
        <v>62</v>
      </c>
      <c r="C10">
        <v>44</v>
      </c>
      <c r="D10">
        <f t="shared" si="3"/>
        <v>5</v>
      </c>
      <c r="E10" s="8">
        <v>1</v>
      </c>
      <c r="F10">
        <f t="shared" si="4"/>
        <v>5</v>
      </c>
      <c r="G10">
        <f t="shared" si="5"/>
        <v>44</v>
      </c>
      <c r="H10" s="5">
        <f>MATCH(G10-$J$2-$J$3,MonthRates!$E$5:$E$65,1)+IF(ISNA(MATCH(G10-$J$2-$J$3,MonthRates!$E$5:$E$65,0)),1,0)</f>
        <v>44</v>
      </c>
      <c r="I10" s="12">
        <f t="shared" si="6"/>
        <v>260.7857142857143</v>
      </c>
      <c r="J10" s="12">
        <f ca="1">OFFSET(MonthRates!$E$6,H10-2,0,1,1)</f>
        <v>261.0357142857143</v>
      </c>
      <c r="K10" s="12">
        <f ca="1">G10-$J$2-$J$3-OFFSET(MonthRates!$E$6,H10-3,0,1,1)</f>
        <v>7.5</v>
      </c>
      <c r="L10" s="12">
        <f ca="1">OFFSET(MonthRates!$B$6,H10-2,0,1,1)</f>
        <v>1.75</v>
      </c>
      <c r="M10" s="2">
        <f ca="1">OFFSET(MonthRates!$A$6,H10-2,0,1,1)</f>
        <v>12966</v>
      </c>
      <c r="N10" s="12">
        <f t="shared" si="0"/>
        <v>30</v>
      </c>
      <c r="O10" s="2">
        <f t="shared" si="1"/>
        <v>12995</v>
      </c>
      <c r="P10" s="12">
        <f t="shared" si="2"/>
        <v>78</v>
      </c>
      <c r="Q10" s="5">
        <f>MATCH(P10-$S$22-$S$23,MonthRates!$E$5:$E$65,1)+1</f>
        <v>49</v>
      </c>
      <c r="R10" s="12">
        <f t="shared" si="7"/>
        <v>294.7857142857143</v>
      </c>
      <c r="S10" s="12">
        <f ca="1">OFFSET(MonthRates!$E$6,Q10-2,0,1,1)</f>
        <v>297.1071428571429</v>
      </c>
      <c r="T10" s="12">
        <f ca="1">P10-$S$22-$S$23-OFFSET(MonthRates!$E$6,Q10-3,0,1,1)</f>
        <v>4.321428571428555</v>
      </c>
      <c r="U10" s="12">
        <f ca="1">OFFSET(MonthRates!$B$6,Q10-2,0,1,1)</f>
        <v>1.5</v>
      </c>
      <c r="V10" s="2">
        <f ca="1">OFFSET(MonthRates!$A$6,Q10-2,0,1,1)</f>
        <v>13119</v>
      </c>
      <c r="W10" s="12">
        <f t="shared" si="8"/>
        <v>20.16666666666659</v>
      </c>
      <c r="X10" s="2">
        <f t="shared" si="9"/>
        <v>13138.166666666666</v>
      </c>
    </row>
    <row r="11" spans="1:24" ht="12.75">
      <c r="A11" t="s">
        <v>62</v>
      </c>
      <c r="B11" t="s">
        <v>63</v>
      </c>
      <c r="C11">
        <v>55</v>
      </c>
      <c r="D11">
        <f t="shared" si="3"/>
        <v>11</v>
      </c>
      <c r="E11" s="8">
        <v>1</v>
      </c>
      <c r="F11">
        <f t="shared" si="4"/>
        <v>11</v>
      </c>
      <c r="G11">
        <f t="shared" si="5"/>
        <v>55</v>
      </c>
      <c r="H11" s="5">
        <f>MATCH(G11-$J$2-$J$3,MonthRates!$E$5:$E$65,1)+IF(ISNA(MATCH(G11-$J$2-$J$3,MonthRates!$E$5:$E$65,0)),1,0)</f>
        <v>46</v>
      </c>
      <c r="I11" s="12">
        <f t="shared" si="6"/>
        <v>271.7857142857143</v>
      </c>
      <c r="J11" s="12">
        <f ca="1">OFFSET(MonthRates!$E$6,H11-2,0,1,1)</f>
        <v>276.2857142857143</v>
      </c>
      <c r="K11" s="12">
        <f ca="1">G11-$J$2-$J$3-OFFSET(MonthRates!$E$6,H11-3,0,1,1)</f>
        <v>3</v>
      </c>
      <c r="L11" s="12">
        <f ca="1">OFFSET(MonthRates!$B$6,H11-2,0,1,1)</f>
        <v>1.75</v>
      </c>
      <c r="M11" s="2">
        <f ca="1">OFFSET(MonthRates!$A$6,H11-2,0,1,1)</f>
        <v>13028</v>
      </c>
      <c r="N11" s="12">
        <f t="shared" si="0"/>
        <v>12</v>
      </c>
      <c r="O11" s="2">
        <f t="shared" si="1"/>
        <v>13039</v>
      </c>
      <c r="P11" s="12">
        <f t="shared" si="2"/>
        <v>73</v>
      </c>
      <c r="Q11" s="5">
        <f>MATCH(P11-$S$22-$S$23,MonthRates!$E$5:$E$65,1)+1</f>
        <v>48</v>
      </c>
      <c r="R11" s="12">
        <f t="shared" si="7"/>
        <v>289.7857142857143</v>
      </c>
      <c r="S11" s="12">
        <f ca="1">OFFSET(MonthRates!$E$6,Q11-2,0,1,1)</f>
        <v>290.4642857142857</v>
      </c>
      <c r="T11" s="12">
        <f ca="1">P11-$S$22-$S$23-OFFSET(MonthRates!$E$6,Q11-3,0,1,1)</f>
        <v>5.75</v>
      </c>
      <c r="U11" s="12">
        <f ca="1">OFFSET(MonthRates!$B$6,Q11-2,0,1,1)</f>
        <v>1.5</v>
      </c>
      <c r="V11" s="2">
        <f ca="1">OFFSET(MonthRates!$A$6,Q11-2,0,1,1)</f>
        <v>13089</v>
      </c>
      <c r="W11" s="12">
        <f t="shared" si="8"/>
        <v>26.833333333333332</v>
      </c>
      <c r="X11" s="2">
        <f t="shared" si="9"/>
        <v>13114.833333333334</v>
      </c>
    </row>
    <row r="12" spans="1:24" ht="12.75">
      <c r="A12" t="s">
        <v>63</v>
      </c>
      <c r="B12" t="s">
        <v>64</v>
      </c>
      <c r="C12">
        <v>56</v>
      </c>
      <c r="D12">
        <f t="shared" si="3"/>
        <v>1</v>
      </c>
      <c r="E12" s="8">
        <v>1</v>
      </c>
      <c r="F12">
        <f t="shared" si="4"/>
        <v>1</v>
      </c>
      <c r="G12">
        <f t="shared" si="5"/>
        <v>56</v>
      </c>
      <c r="H12" s="5">
        <f>MATCH(G12-$J$2-$J$3,MonthRates!$E$5:$E$65,1)+IF(ISNA(MATCH(G12-$J$2-$J$3,MonthRates!$E$5:$E$65,0)),1,0)</f>
        <v>46</v>
      </c>
      <c r="I12" s="12">
        <f t="shared" si="6"/>
        <v>272.7857142857143</v>
      </c>
      <c r="J12" s="12">
        <f ca="1">OFFSET(MonthRates!$E$6,H12-2,0,1,1)</f>
        <v>276.2857142857143</v>
      </c>
      <c r="K12" s="12">
        <f ca="1">G12-$J$2-$J$3-OFFSET(MonthRates!$E$6,H12-3,0,1,1)</f>
        <v>4</v>
      </c>
      <c r="L12" s="12">
        <f ca="1">OFFSET(MonthRates!$B$6,H12-2,0,1,1)</f>
        <v>1.75</v>
      </c>
      <c r="M12" s="2">
        <f ca="1">OFFSET(MonthRates!$A$6,H12-2,0,1,1)</f>
        <v>13028</v>
      </c>
      <c r="N12" s="12">
        <f t="shared" si="0"/>
        <v>16</v>
      </c>
      <c r="O12" s="2">
        <f t="shared" si="1"/>
        <v>13043</v>
      </c>
      <c r="P12" s="12">
        <f t="shared" si="2"/>
        <v>62</v>
      </c>
      <c r="Q12" s="5">
        <f>MATCH(P12-$S$22-$S$23,MonthRates!$E$5:$E$65,1)+1</f>
        <v>47</v>
      </c>
      <c r="R12" s="12">
        <f t="shared" si="7"/>
        <v>278.7857142857143</v>
      </c>
      <c r="S12" s="12">
        <f ca="1">OFFSET(MonthRates!$E$6,Q12-2,0,1,1)</f>
        <v>284.0357142857143</v>
      </c>
      <c r="T12" s="12">
        <f ca="1">P12-$S$22-$S$23-OFFSET(MonthRates!$E$6,Q12-3,0,1,1)</f>
        <v>2.5</v>
      </c>
      <c r="U12" s="12">
        <f ca="1">OFFSET(MonthRates!$B$6,Q12-2,0,1,1)</f>
        <v>1.75</v>
      </c>
      <c r="V12" s="2">
        <f ca="1">OFFSET(MonthRates!$A$6,Q12-2,0,1,1)</f>
        <v>13058</v>
      </c>
      <c r="W12" s="12">
        <f t="shared" si="8"/>
        <v>10</v>
      </c>
      <c r="X12" s="2">
        <f t="shared" si="9"/>
        <v>13067</v>
      </c>
    </row>
    <row r="13" spans="1:24" ht="12.75">
      <c r="A13" t="s">
        <v>64</v>
      </c>
      <c r="B13" t="s">
        <v>65</v>
      </c>
      <c r="C13">
        <v>58</v>
      </c>
      <c r="D13">
        <f t="shared" si="3"/>
        <v>2</v>
      </c>
      <c r="E13" s="8">
        <v>1</v>
      </c>
      <c r="F13">
        <f t="shared" si="4"/>
        <v>2</v>
      </c>
      <c r="G13">
        <f t="shared" si="5"/>
        <v>58</v>
      </c>
      <c r="H13" s="5">
        <f>MATCH(G13-$J$2-$J$3,MonthRates!$E$5:$E$65,1)+IF(ISNA(MATCH(G13-$J$2-$J$3,MonthRates!$E$5:$E$65,0)),1,0)</f>
        <v>46</v>
      </c>
      <c r="I13" s="12">
        <f t="shared" si="6"/>
        <v>274.7857142857143</v>
      </c>
      <c r="J13" s="12">
        <f ca="1">OFFSET(MonthRates!$E$6,H13-2,0,1,1)</f>
        <v>276.2857142857143</v>
      </c>
      <c r="K13" s="12">
        <f ca="1">G13-$J$2-$J$3-OFFSET(MonthRates!$E$6,H13-3,0,1,1)</f>
        <v>6</v>
      </c>
      <c r="L13" s="12">
        <f ca="1">OFFSET(MonthRates!$B$6,H13-2,0,1,1)</f>
        <v>1.75</v>
      </c>
      <c r="M13" s="2">
        <f ca="1">OFFSET(MonthRates!$A$6,H13-2,0,1,1)</f>
        <v>13028</v>
      </c>
      <c r="N13" s="12">
        <f t="shared" si="0"/>
        <v>24</v>
      </c>
      <c r="O13" s="2">
        <f t="shared" si="1"/>
        <v>13051</v>
      </c>
      <c r="P13" s="12">
        <f t="shared" si="2"/>
        <v>61</v>
      </c>
      <c r="Q13" s="5">
        <f>MATCH(P13-$S$22-$S$23,MonthRates!$E$5:$E$65,1)+1</f>
        <v>47</v>
      </c>
      <c r="R13" s="12">
        <f t="shared" si="7"/>
        <v>277.7857142857143</v>
      </c>
      <c r="S13" s="12">
        <f ca="1">OFFSET(MonthRates!$E$6,Q13-2,0,1,1)</f>
        <v>284.0357142857143</v>
      </c>
      <c r="T13" s="12">
        <f ca="1">P13-$S$22-$S$23-OFFSET(MonthRates!$E$6,Q13-3,0,1,1)</f>
        <v>1.5</v>
      </c>
      <c r="U13" s="12">
        <f ca="1">OFFSET(MonthRates!$B$6,Q13-2,0,1,1)</f>
        <v>1.75</v>
      </c>
      <c r="V13" s="2">
        <f ca="1">OFFSET(MonthRates!$A$6,Q13-2,0,1,1)</f>
        <v>13058</v>
      </c>
      <c r="W13" s="12">
        <f t="shared" si="8"/>
        <v>6</v>
      </c>
      <c r="X13" s="2">
        <f t="shared" si="9"/>
        <v>13063</v>
      </c>
    </row>
    <row r="14" spans="1:24" ht="12.75">
      <c r="A14" t="s">
        <v>65</v>
      </c>
      <c r="B14" t="s">
        <v>66</v>
      </c>
      <c r="C14">
        <v>77</v>
      </c>
      <c r="D14">
        <f t="shared" si="3"/>
        <v>19</v>
      </c>
      <c r="E14" s="8">
        <v>1</v>
      </c>
      <c r="F14">
        <f t="shared" si="4"/>
        <v>19</v>
      </c>
      <c r="G14">
        <f t="shared" si="5"/>
        <v>77</v>
      </c>
      <c r="H14" s="5">
        <f>MATCH(G14-$J$2-$J$3,MonthRates!$E$5:$E$65,1)+IF(ISNA(MATCH(G14-$J$2-$J$3,MonthRates!$E$5:$E$65,0)),1,0)</f>
        <v>49</v>
      </c>
      <c r="I14" s="12">
        <f t="shared" si="6"/>
        <v>293.7857142857143</v>
      </c>
      <c r="J14" s="12">
        <f ca="1">OFFSET(MonthRates!$E$6,H14-2,0,1,1)</f>
        <v>297.1071428571429</v>
      </c>
      <c r="K14" s="12">
        <f ca="1">G14-$J$2-$J$3-OFFSET(MonthRates!$E$6,H14-3,0,1,1)</f>
        <v>3.321428571428555</v>
      </c>
      <c r="L14" s="12">
        <f ca="1">OFFSET(MonthRates!$B$6,H14-2,0,1,1)</f>
        <v>1.5</v>
      </c>
      <c r="M14" s="2">
        <f ca="1">OFFSET(MonthRates!$A$6,H14-2,0,1,1)</f>
        <v>13119</v>
      </c>
      <c r="N14" s="12">
        <f t="shared" si="0"/>
        <v>15.499999999999924</v>
      </c>
      <c r="O14" s="2">
        <f t="shared" si="1"/>
        <v>13133.5</v>
      </c>
      <c r="P14" s="12">
        <f t="shared" si="2"/>
        <v>59</v>
      </c>
      <c r="Q14" s="5">
        <f>MATCH(P14-$S$22-$S$23,MonthRates!$E$5:$E$65,1)+1</f>
        <v>46</v>
      </c>
      <c r="R14" s="12">
        <f t="shared" si="7"/>
        <v>275.7857142857143</v>
      </c>
      <c r="S14" s="12">
        <f ca="1">OFFSET(MonthRates!$E$6,Q14-2,0,1,1)</f>
        <v>276.2857142857143</v>
      </c>
      <c r="T14" s="12">
        <f ca="1">P14-$S$22-$S$23-OFFSET(MonthRates!$E$6,Q14-3,0,1,1)</f>
        <v>7</v>
      </c>
      <c r="U14" s="12">
        <f ca="1">OFFSET(MonthRates!$B$6,Q14-2,0,1,1)</f>
        <v>1.75</v>
      </c>
      <c r="V14" s="2">
        <f ca="1">OFFSET(MonthRates!$A$6,Q14-2,0,1,1)</f>
        <v>13028</v>
      </c>
      <c r="W14" s="12">
        <f t="shared" si="8"/>
        <v>28</v>
      </c>
      <c r="X14" s="2">
        <f t="shared" si="9"/>
        <v>13055</v>
      </c>
    </row>
    <row r="15" spans="1:24" ht="12.75">
      <c r="A15" t="s">
        <v>66</v>
      </c>
      <c r="B15" t="s">
        <v>67</v>
      </c>
      <c r="C15">
        <v>78</v>
      </c>
      <c r="D15">
        <f t="shared" si="3"/>
        <v>1</v>
      </c>
      <c r="E15" s="8">
        <v>1</v>
      </c>
      <c r="F15">
        <f t="shared" si="4"/>
        <v>1</v>
      </c>
      <c r="G15">
        <f t="shared" si="5"/>
        <v>78</v>
      </c>
      <c r="H15" s="5">
        <f>MATCH(G15-$J$2-$J$3,MonthRates!$E$5:$E$65,1)+IF(ISNA(MATCH(G15-$J$2-$J$3,MonthRates!$E$5:$E$65,0)),1,0)</f>
        <v>49</v>
      </c>
      <c r="I15" s="12">
        <f t="shared" si="6"/>
        <v>294.7857142857143</v>
      </c>
      <c r="J15" s="12">
        <f ca="1">OFFSET(MonthRates!$E$6,H15-2,0,1,1)</f>
        <v>297.1071428571429</v>
      </c>
      <c r="K15" s="12">
        <f ca="1">G15-$J$2-$J$3-OFFSET(MonthRates!$E$6,H15-3,0,1,1)</f>
        <v>4.321428571428555</v>
      </c>
      <c r="L15" s="12">
        <f ca="1">OFFSET(MonthRates!$B$6,H15-2,0,1,1)</f>
        <v>1.5</v>
      </c>
      <c r="M15" s="2">
        <f ca="1">OFFSET(MonthRates!$A$6,H15-2,0,1,1)</f>
        <v>13119</v>
      </c>
      <c r="N15" s="12">
        <f t="shared" si="0"/>
        <v>20.16666666666659</v>
      </c>
      <c r="O15" s="2">
        <f t="shared" si="1"/>
        <v>13138.166666666666</v>
      </c>
      <c r="P15" s="12">
        <f t="shared" si="2"/>
        <v>40</v>
      </c>
      <c r="Q15" s="5">
        <f>MATCH(P15-$S$22-$S$23,MonthRates!$E$5:$E$65,1)+1</f>
        <v>44</v>
      </c>
      <c r="R15" s="12">
        <f t="shared" si="7"/>
        <v>256.7857142857143</v>
      </c>
      <c r="S15" s="12">
        <f ca="1">OFFSET(MonthRates!$E$6,Q15-2,0,1,1)</f>
        <v>261.0357142857143</v>
      </c>
      <c r="T15" s="12">
        <f ca="1">P15-$S$22-$S$23-OFFSET(MonthRates!$E$6,Q15-3,0,1,1)</f>
        <v>3.5</v>
      </c>
      <c r="U15" s="12">
        <f ca="1">OFFSET(MonthRates!$B$6,Q15-2,0,1,1)</f>
        <v>1.75</v>
      </c>
      <c r="V15" s="2">
        <f ca="1">OFFSET(MonthRates!$A$6,Q15-2,0,1,1)</f>
        <v>12966</v>
      </c>
      <c r="W15" s="12">
        <f t="shared" si="8"/>
        <v>14</v>
      </c>
      <c r="X15" s="2">
        <f t="shared" si="9"/>
        <v>12979</v>
      </c>
    </row>
    <row r="16" spans="1:24" ht="12.75">
      <c r="A16" t="s">
        <v>67</v>
      </c>
      <c r="B16" t="s">
        <v>68</v>
      </c>
      <c r="C16">
        <v>85</v>
      </c>
      <c r="D16">
        <f t="shared" si="3"/>
        <v>7</v>
      </c>
      <c r="E16" s="8">
        <v>1</v>
      </c>
      <c r="F16">
        <f t="shared" si="4"/>
        <v>7</v>
      </c>
      <c r="G16">
        <f t="shared" si="5"/>
        <v>85</v>
      </c>
      <c r="H16" s="5">
        <f>MATCH(G16-$J$2-$J$3,MonthRates!$E$5:$E$65,1)+IF(ISNA(MATCH(G16-$J$2-$J$3,MonthRates!$E$5:$E$65,0)),1,0)</f>
        <v>50</v>
      </c>
      <c r="I16" s="12">
        <f t="shared" si="6"/>
        <v>301.7857142857143</v>
      </c>
      <c r="J16" s="12">
        <f ca="1">OFFSET(MonthRates!$E$6,H16-2,0,1,1)</f>
        <v>303.75000000000006</v>
      </c>
      <c r="K16" s="12">
        <f ca="1">G16-$J$2-$J$3-OFFSET(MonthRates!$E$6,H16-3,0,1,1)</f>
        <v>4.678571428571388</v>
      </c>
      <c r="L16" s="12">
        <f ca="1">OFFSET(MonthRates!$B$6,H16-2,0,1,1)</f>
        <v>1.5</v>
      </c>
      <c r="M16" s="2">
        <f ca="1">OFFSET(MonthRates!$A$6,H16-2,0,1,1)</f>
        <v>13150</v>
      </c>
      <c r="N16" s="12">
        <f t="shared" si="0"/>
        <v>21.833333333333144</v>
      </c>
      <c r="O16" s="2">
        <f t="shared" si="1"/>
        <v>13170.833333333334</v>
      </c>
      <c r="P16" s="12">
        <f t="shared" si="2"/>
        <v>39</v>
      </c>
      <c r="Q16" s="5">
        <f>MATCH(P16-$S$22-$S$23,MonthRates!$E$5:$E$65,1)+1</f>
        <v>44</v>
      </c>
      <c r="R16" s="12">
        <f t="shared" si="7"/>
        <v>255.78571428571428</v>
      </c>
      <c r="S16" s="12">
        <f ca="1">OFFSET(MonthRates!$E$6,Q16-2,0,1,1)</f>
        <v>261.0357142857143</v>
      </c>
      <c r="T16" s="12">
        <f ca="1">P16-$S$22-$S$23-OFFSET(MonthRates!$E$6,Q16-3,0,1,1)</f>
        <v>2.5</v>
      </c>
      <c r="U16" s="12">
        <f ca="1">OFFSET(MonthRates!$B$6,Q16-2,0,1,1)</f>
        <v>1.75</v>
      </c>
      <c r="V16" s="2">
        <f ca="1">OFFSET(MonthRates!$A$6,Q16-2,0,1,1)</f>
        <v>12966</v>
      </c>
      <c r="W16" s="12">
        <f t="shared" si="8"/>
        <v>10</v>
      </c>
      <c r="X16" s="2">
        <f t="shared" si="9"/>
        <v>12975</v>
      </c>
    </row>
    <row r="17" spans="1:24" ht="12.75">
      <c r="A17" t="s">
        <v>68</v>
      </c>
      <c r="B17" t="s">
        <v>69</v>
      </c>
      <c r="C17">
        <v>89</v>
      </c>
      <c r="D17">
        <f t="shared" si="3"/>
        <v>4</v>
      </c>
      <c r="E17" s="8">
        <v>1</v>
      </c>
      <c r="F17">
        <f t="shared" si="4"/>
        <v>4</v>
      </c>
      <c r="G17">
        <f t="shared" si="5"/>
        <v>89</v>
      </c>
      <c r="H17" s="5">
        <f>MATCH(G17-$J$2-$J$3,MonthRates!$E$5:$E$65,1)+IF(ISNA(MATCH(G17-$J$2-$J$3,MonthRates!$E$5:$E$65,0)),1,0)</f>
        <v>51</v>
      </c>
      <c r="I17" s="12">
        <f t="shared" si="6"/>
        <v>305.7857142857143</v>
      </c>
      <c r="J17" s="12">
        <f ca="1">OFFSET(MonthRates!$E$6,H17-2,0,1,1)</f>
        <v>309.9642857142858</v>
      </c>
      <c r="K17" s="12">
        <f ca="1">G17-$J$2-$J$3-OFFSET(MonthRates!$E$6,H17-3,0,1,1)</f>
        <v>2.0357142857142208</v>
      </c>
      <c r="L17" s="12">
        <f ca="1">OFFSET(MonthRates!$B$6,H17-2,0,1,1)</f>
        <v>1.5</v>
      </c>
      <c r="M17" s="2">
        <f ca="1">OFFSET(MonthRates!$A$6,H17-2,0,1,1)</f>
        <v>13181</v>
      </c>
      <c r="N17" s="12">
        <f t="shared" si="0"/>
        <v>9.499999999999696</v>
      </c>
      <c r="O17" s="2">
        <f t="shared" si="1"/>
        <v>13189.5</v>
      </c>
      <c r="P17" s="12">
        <f t="shared" si="2"/>
        <v>32</v>
      </c>
      <c r="Q17" s="5">
        <f>MATCH(P17-$S$22-$S$23,MonthRates!$E$5:$E$65,1)+1</f>
        <v>43</v>
      </c>
      <c r="R17" s="12">
        <f t="shared" si="7"/>
        <v>248.78571428571428</v>
      </c>
      <c r="S17" s="12">
        <f ca="1">OFFSET(MonthRates!$E$6,Q17-2,0,1,1)</f>
        <v>253.28571428571428</v>
      </c>
      <c r="T17" s="12">
        <f ca="1">P17-$S$22-$S$23-OFFSET(MonthRates!$E$6,Q17-3,0,1,1)</f>
        <v>3</v>
      </c>
      <c r="U17" s="12">
        <f ca="1">OFFSET(MonthRates!$B$6,Q17-2,0,1,1)</f>
        <v>1.75</v>
      </c>
      <c r="V17" s="2">
        <f ca="1">OFFSET(MonthRates!$A$6,Q17-2,0,1,1)</f>
        <v>12936</v>
      </c>
      <c r="W17" s="12">
        <f t="shared" si="8"/>
        <v>12</v>
      </c>
      <c r="X17" s="2">
        <f t="shared" si="9"/>
        <v>12947</v>
      </c>
    </row>
    <row r="18" spans="1:24" ht="12.75">
      <c r="A18" t="s">
        <v>69</v>
      </c>
      <c r="B18" t="s">
        <v>70</v>
      </c>
      <c r="C18">
        <v>93</v>
      </c>
      <c r="D18">
        <f t="shared" si="3"/>
        <v>4</v>
      </c>
      <c r="E18" s="8">
        <v>1</v>
      </c>
      <c r="F18">
        <f t="shared" si="4"/>
        <v>4</v>
      </c>
      <c r="G18">
        <f t="shared" si="5"/>
        <v>93</v>
      </c>
      <c r="H18" s="5">
        <f>MATCH(G18-$J$2-$J$3,MonthRates!$E$5:$E$65,1)+IF(ISNA(MATCH(G18-$J$2-$J$3,MonthRates!$E$5:$E$65,0)),1,0)</f>
        <v>51</v>
      </c>
      <c r="I18" s="12">
        <f t="shared" si="6"/>
        <v>309.7857142857143</v>
      </c>
      <c r="J18" s="12">
        <f ca="1">OFFSET(MonthRates!$E$6,H18-2,0,1,1)</f>
        <v>309.9642857142858</v>
      </c>
      <c r="K18" s="12">
        <f ca="1">G18-$J$2-$J$3-OFFSET(MonthRates!$E$6,H18-3,0,1,1)</f>
        <v>6.035714285714221</v>
      </c>
      <c r="L18" s="12">
        <f ca="1">OFFSET(MonthRates!$B$6,H18-2,0,1,1)</f>
        <v>1.5</v>
      </c>
      <c r="M18" s="2">
        <f ca="1">OFFSET(MonthRates!$A$6,H18-2,0,1,1)</f>
        <v>13181</v>
      </c>
      <c r="N18" s="12">
        <f t="shared" si="0"/>
        <v>28.166666666666362</v>
      </c>
      <c r="O18" s="2">
        <f t="shared" si="1"/>
        <v>13208.166666666666</v>
      </c>
      <c r="P18" s="12">
        <f t="shared" si="2"/>
        <v>28</v>
      </c>
      <c r="Q18" s="5">
        <f>MATCH(P18-$S$22-$S$23,MonthRates!$E$5:$E$65,1)+1</f>
        <v>42</v>
      </c>
      <c r="R18" s="12">
        <f t="shared" si="7"/>
        <v>244.78571428571428</v>
      </c>
      <c r="S18" s="12">
        <f ca="1">OFFSET(MonthRates!$E$6,Q18-2,0,1,1)</f>
        <v>245.78571428571428</v>
      </c>
      <c r="T18" s="12">
        <f ca="1">P18-$S$22-$S$23-OFFSET(MonthRates!$E$6,Q18-3,0,1,1)</f>
        <v>6.75</v>
      </c>
      <c r="U18" s="12">
        <f ca="1">OFFSET(MonthRates!$B$6,Q18-2,0,1,1)</f>
        <v>1.75</v>
      </c>
      <c r="V18" s="2">
        <f ca="1">OFFSET(MonthRates!$A$6,Q18-2,0,1,1)</f>
        <v>12905</v>
      </c>
      <c r="W18" s="12">
        <f t="shared" si="8"/>
        <v>27</v>
      </c>
      <c r="X18" s="2">
        <f t="shared" si="9"/>
        <v>12931</v>
      </c>
    </row>
    <row r="19" spans="1:24" ht="12.75">
      <c r="A19" t="s">
        <v>70</v>
      </c>
      <c r="B19" t="s">
        <v>71</v>
      </c>
      <c r="C19">
        <v>103</v>
      </c>
      <c r="D19">
        <f t="shared" si="3"/>
        <v>10</v>
      </c>
      <c r="E19" s="8">
        <v>1</v>
      </c>
      <c r="F19">
        <f t="shared" si="4"/>
        <v>10</v>
      </c>
      <c r="G19">
        <f t="shared" si="5"/>
        <v>103</v>
      </c>
      <c r="H19" s="5">
        <f>MATCH(G19-$J$2-$J$3,MonthRates!$E$5:$E$65,1)+IF(ISNA(MATCH(G19-$J$2-$J$3,MonthRates!$E$5:$E$65,0)),1,0)</f>
        <v>53</v>
      </c>
      <c r="I19" s="12">
        <f t="shared" si="6"/>
        <v>319.7857142857143</v>
      </c>
      <c r="J19" s="12">
        <f ca="1">OFFSET(MonthRates!$E$6,H19-2,0,1,1)</f>
        <v>324.10714285714295</v>
      </c>
      <c r="K19" s="12">
        <f ca="1">G19-$J$2-$J$3-OFFSET(MonthRates!$E$6,H19-3,0,1,1)</f>
        <v>3.178571428571331</v>
      </c>
      <c r="L19" s="12">
        <f ca="1">OFFSET(MonthRates!$B$6,H19-2,0,1,1)</f>
        <v>1.75</v>
      </c>
      <c r="M19" s="2">
        <f ca="1">OFFSET(MonthRates!$A$6,H19-2,0,1,1)</f>
        <v>13241</v>
      </c>
      <c r="N19" s="12">
        <f t="shared" si="0"/>
        <v>12.714285714285325</v>
      </c>
      <c r="O19" s="2">
        <f t="shared" si="1"/>
        <v>13252.714285714286</v>
      </c>
      <c r="P19" s="12">
        <f t="shared" si="2"/>
        <v>24</v>
      </c>
      <c r="Q19" s="5">
        <f>MATCH(P19-$S$22-$S$23,MonthRates!$E$5:$E$65,1)+1</f>
        <v>42</v>
      </c>
      <c r="R19" s="12">
        <f t="shared" si="7"/>
        <v>240.78571428571428</v>
      </c>
      <c r="S19" s="12">
        <f ca="1">OFFSET(MonthRates!$E$6,Q19-2,0,1,1)</f>
        <v>245.78571428571428</v>
      </c>
      <c r="T19" s="12">
        <f ca="1">P19-$S$22-$S$23-OFFSET(MonthRates!$E$6,Q19-3,0,1,1)</f>
        <v>2.75</v>
      </c>
      <c r="U19" s="12">
        <f ca="1">OFFSET(MonthRates!$B$6,Q19-2,0,1,1)</f>
        <v>1.75</v>
      </c>
      <c r="V19" s="2">
        <f ca="1">OFFSET(MonthRates!$A$6,Q19-2,0,1,1)</f>
        <v>12905</v>
      </c>
      <c r="W19" s="12">
        <f t="shared" si="8"/>
        <v>11</v>
      </c>
      <c r="X19" s="2">
        <f t="shared" si="9"/>
        <v>12915</v>
      </c>
    </row>
    <row r="20" spans="1:24" ht="12.75">
      <c r="A20" t="s">
        <v>71</v>
      </c>
      <c r="B20" t="s">
        <v>72</v>
      </c>
      <c r="C20">
        <v>112</v>
      </c>
      <c r="D20">
        <f t="shared" si="3"/>
        <v>9</v>
      </c>
      <c r="E20" s="8">
        <v>1</v>
      </c>
      <c r="F20">
        <f t="shared" si="4"/>
        <v>9</v>
      </c>
      <c r="G20">
        <f t="shared" si="5"/>
        <v>112</v>
      </c>
      <c r="H20" s="5">
        <f>MATCH(G20-$J$2-$J$3,MonthRates!$E$5:$E$65,1)+IF(ISNA(MATCH(G20-$J$2-$J$3,MonthRates!$E$5:$E$65,0)),1,0)</f>
        <v>54</v>
      </c>
      <c r="I20" s="12">
        <f t="shared" si="6"/>
        <v>328.7857142857143</v>
      </c>
      <c r="J20" s="12">
        <f ca="1">OFFSET(MonthRates!$E$6,H20-2,0,1,1)</f>
        <v>331.85714285714295</v>
      </c>
      <c r="K20" s="12">
        <f ca="1">G20-$J$2-$J$3-OFFSET(MonthRates!$E$6,H20-3,0,1,1)</f>
        <v>4.678571428571331</v>
      </c>
      <c r="L20" s="12">
        <f ca="1">OFFSET(MonthRates!$B$6,H20-2,0,1,1)</f>
        <v>1.75</v>
      </c>
      <c r="M20" s="2">
        <f ca="1">OFFSET(MonthRates!$A$6,H20-2,0,1,1)</f>
        <v>13271</v>
      </c>
      <c r="N20" s="12">
        <f t="shared" si="0"/>
        <v>18.714285714285325</v>
      </c>
      <c r="O20" s="2">
        <f t="shared" si="1"/>
        <v>13288.714285714286</v>
      </c>
      <c r="P20" s="12">
        <f t="shared" si="2"/>
        <v>14</v>
      </c>
      <c r="Q20" s="5">
        <f>MATCH(P20-$S$22-$S$23,MonthRates!$E$5:$E$65,1)+1</f>
        <v>41</v>
      </c>
      <c r="R20" s="12">
        <f t="shared" si="7"/>
        <v>230.78571428571428</v>
      </c>
      <c r="S20" s="12">
        <f ca="1">OFFSET(MonthRates!$E$6,Q20-2,0,1,1)</f>
        <v>238.03571428571428</v>
      </c>
      <c r="T20" s="12">
        <f ca="1">P20-$S$22-$S$23-OFFSET(MonthRates!$E$6,Q20-3,0,1,1)</f>
        <v>0.25</v>
      </c>
      <c r="U20" s="12">
        <f ca="1">OFFSET(MonthRates!$B$6,Q20-2,0,1,1)</f>
        <v>1.75</v>
      </c>
      <c r="V20" s="2">
        <f ca="1">OFFSET(MonthRates!$A$6,Q20-2,0,1,1)</f>
        <v>12875</v>
      </c>
      <c r="W20" s="12">
        <f t="shared" si="8"/>
        <v>1</v>
      </c>
      <c r="X20" s="2">
        <f t="shared" si="9"/>
        <v>12875</v>
      </c>
    </row>
    <row r="21" spans="1:24" ht="12.75">
      <c r="A21" t="s">
        <v>72</v>
      </c>
      <c r="B21" t="s">
        <v>73</v>
      </c>
      <c r="C21">
        <v>117</v>
      </c>
      <c r="D21">
        <f t="shared" si="3"/>
        <v>5</v>
      </c>
      <c r="E21" s="8">
        <v>1</v>
      </c>
      <c r="F21">
        <f t="shared" si="4"/>
        <v>5</v>
      </c>
      <c r="G21">
        <f t="shared" si="5"/>
        <v>117</v>
      </c>
      <c r="H21" s="5">
        <f>MATCH(G21-$J$2-$J$3,MonthRates!$E$5:$E$65,1)+IF(ISNA(MATCH(G21-$J$2-$J$3,MonthRates!$E$5:$E$65,0)),1,0)</f>
        <v>55</v>
      </c>
      <c r="I21" s="12">
        <f t="shared" si="6"/>
        <v>333.7857142857143</v>
      </c>
      <c r="J21" s="12">
        <f ca="1">OFFSET(MonthRates!$E$6,H21-2,0,1,1)</f>
        <v>339.35714285714295</v>
      </c>
      <c r="K21" s="12">
        <f ca="1">G21-$J$2-$J$3-OFFSET(MonthRates!$E$6,H21-3,0,1,1)</f>
        <v>1.9285714285713311</v>
      </c>
      <c r="L21" s="12">
        <f ca="1">OFFSET(MonthRates!$B$6,H21-2,0,1,1)</f>
        <v>1.75</v>
      </c>
      <c r="M21" s="2">
        <f ca="1">OFFSET(MonthRates!$A$6,H21-2,0,1,1)</f>
        <v>13302</v>
      </c>
      <c r="N21" s="12">
        <f t="shared" si="0"/>
        <v>7.7142857142853245</v>
      </c>
      <c r="O21" s="2">
        <f t="shared" si="1"/>
        <v>13308.714285714286</v>
      </c>
      <c r="P21" s="12">
        <f t="shared" si="2"/>
        <v>5</v>
      </c>
      <c r="Q21" s="5">
        <f>MATCH(P21-$S$22-$S$23,MonthRates!$E$5:$E$65,1)+1</f>
        <v>39</v>
      </c>
      <c r="R21" s="12">
        <f t="shared" si="7"/>
        <v>221.78571428571428</v>
      </c>
      <c r="S21" s="12">
        <f ca="1">OFFSET(MonthRates!$E$6,Q21-2,0,1,1)</f>
        <v>222.78571428571428</v>
      </c>
      <c r="T21" s="12">
        <f ca="1">P21-$S$22-$S$23-OFFSET(MonthRates!$E$6,Q21-3,0,1,1)</f>
        <v>5</v>
      </c>
      <c r="U21" s="12">
        <f ca="1">OFFSET(MonthRates!$B$6,Q21-2,0,1,1)</f>
        <v>1.5</v>
      </c>
      <c r="V21" s="2">
        <f ca="1">OFFSET(MonthRates!$A$6,Q21-2,0,1,1)</f>
        <v>12816</v>
      </c>
      <c r="W21" s="12">
        <f t="shared" si="8"/>
        <v>23.333333333333332</v>
      </c>
      <c r="X21" s="2">
        <f t="shared" si="9"/>
        <v>12838.333333333334</v>
      </c>
    </row>
    <row r="22" spans="1:24" ht="12.75">
      <c r="A22" s="14" t="s">
        <v>33</v>
      </c>
      <c r="F22">
        <v>0</v>
      </c>
      <c r="G22">
        <v>0</v>
      </c>
      <c r="H22" s="5"/>
      <c r="I22" s="12"/>
      <c r="J22" s="15"/>
      <c r="K22" s="15"/>
      <c r="L22" s="15"/>
      <c r="M22" s="29"/>
      <c r="N22" s="12"/>
      <c r="O22" s="24"/>
      <c r="P22" s="21">
        <v>0</v>
      </c>
      <c r="Q22" s="23">
        <f>MATCH($V$22,MonthRates!A$6:A$65,0)</f>
        <v>38</v>
      </c>
      <c r="S22" s="15">
        <f ca="1">-OFFSET(MonthRates!E$6,Q22-2,0,1,1)</f>
        <v>-216.78571428571428</v>
      </c>
      <c r="T22" s="15"/>
      <c r="U22" s="15"/>
      <c r="V22" s="26">
        <f>DATE(YEAR($X22),MONTH($X22),1)</f>
        <v>12816</v>
      </c>
      <c r="W22" s="15"/>
      <c r="X22" s="25">
        <v>12816</v>
      </c>
    </row>
    <row r="23" spans="1:24" ht="12.75">
      <c r="A23" s="14"/>
      <c r="H23" s="5"/>
      <c r="I23" s="12"/>
      <c r="J23" s="17"/>
      <c r="K23" s="17"/>
      <c r="L23" s="17"/>
      <c r="M23" s="29"/>
      <c r="N23" s="12"/>
      <c r="O23" s="18">
        <f>O22-P23+1</f>
        <v>1</v>
      </c>
      <c r="P23" s="16"/>
      <c r="S23" s="17">
        <f ca="1">-OFFSET(MonthRates!B$6,Q22-1,0,1,1)*X23/7</f>
        <v>0</v>
      </c>
      <c r="V23" s="18"/>
      <c r="X23" s="18">
        <f>X22-V22</f>
        <v>0</v>
      </c>
    </row>
    <row r="24" spans="1:24" ht="12.75">
      <c r="A24" s="9" t="s">
        <v>28</v>
      </c>
      <c r="B24" s="9"/>
      <c r="C24" s="9"/>
      <c r="D24" s="9"/>
      <c r="E24" s="9"/>
      <c r="F24" s="9"/>
      <c r="G24" s="9"/>
      <c r="H24" s="19"/>
      <c r="I24" s="13"/>
      <c r="J24" s="13"/>
      <c r="K24" s="13"/>
      <c r="L24" s="13"/>
      <c r="M24" s="30"/>
      <c r="N24" s="13"/>
      <c r="O24" s="10"/>
      <c r="P24" s="13"/>
      <c r="Q24" s="9"/>
      <c r="R24" s="9"/>
      <c r="S24" s="9"/>
      <c r="T24" s="9"/>
      <c r="U24" s="9"/>
      <c r="V24" s="9"/>
      <c r="W24" s="9"/>
      <c r="X24" s="9"/>
    </row>
    <row r="25" spans="1:24" ht="12.75">
      <c r="A25" s="9" t="s">
        <v>29</v>
      </c>
      <c r="B25" s="9"/>
      <c r="C25" s="9"/>
      <c r="D25" s="9"/>
      <c r="E25" s="9"/>
      <c r="F25" s="9"/>
      <c r="G25" s="9"/>
      <c r="H25" s="19"/>
      <c r="I25" s="13"/>
      <c r="J25" s="13"/>
      <c r="K25" s="13"/>
      <c r="L25" s="13"/>
      <c r="M25" s="30"/>
      <c r="N25" s="13"/>
      <c r="O25" s="10"/>
      <c r="P25" s="13"/>
      <c r="Q25" s="9"/>
      <c r="R25" s="9"/>
      <c r="S25" s="9"/>
      <c r="T25" s="9"/>
      <c r="U25" s="9"/>
      <c r="V25" s="9"/>
      <c r="W25" s="9"/>
      <c r="X25" s="9"/>
    </row>
    <row r="26" spans="1:24" ht="12.75">
      <c r="A26" s="9" t="s">
        <v>81</v>
      </c>
      <c r="B26" s="9"/>
      <c r="C26" s="9"/>
      <c r="D26" s="9"/>
      <c r="E26" s="9"/>
      <c r="F26" s="9"/>
      <c r="G26" s="9"/>
      <c r="H26" s="19"/>
      <c r="I26" s="13"/>
      <c r="J26" s="13"/>
      <c r="K26" s="13"/>
      <c r="L26" s="13"/>
      <c r="M26" s="30"/>
      <c r="N26" s="13"/>
      <c r="O26" s="10"/>
      <c r="P26" s="13"/>
      <c r="Q26" s="9"/>
      <c r="R26" s="9"/>
      <c r="S26" s="9"/>
      <c r="T26" s="9"/>
      <c r="U26" s="9"/>
      <c r="V26" s="9"/>
      <c r="W26" s="9"/>
      <c r="X26" s="9"/>
    </row>
    <row r="27" spans="8:16" ht="12.75">
      <c r="H27" s="5"/>
      <c r="I27" s="12"/>
      <c r="J27" s="12"/>
      <c r="K27" s="12"/>
      <c r="L27" s="12"/>
      <c r="M27" s="29"/>
      <c r="N27" s="12"/>
      <c r="O27" s="2"/>
      <c r="P27" s="12"/>
    </row>
    <row r="28" ht="12.75">
      <c r="A28" s="33" t="s">
        <v>82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4">
      <selection activeCell="Y16" sqref="Y16"/>
    </sheetView>
  </sheetViews>
  <sheetFormatPr defaultColWidth="9.140625" defaultRowHeight="12.75"/>
  <cols>
    <col min="1" max="1" width="16.8515625" style="0" customWidth="1"/>
    <col min="2" max="2" width="17.28125" style="0" customWidth="1"/>
    <col min="3" max="4" width="7.57421875" style="0" customWidth="1"/>
    <col min="5" max="5" width="8.00390625" style="0" customWidth="1"/>
    <col min="6" max="6" width="7.8515625" style="0" hidden="1" customWidth="1"/>
    <col min="7" max="7" width="6.140625" style="0" customWidth="1"/>
    <col min="8" max="8" width="5.8515625" style="5" hidden="1" customWidth="1"/>
    <col min="9" max="9" width="6.57421875" style="12" hidden="1" customWidth="1"/>
    <col min="10" max="10" width="6.8515625" style="12" hidden="1" customWidth="1"/>
    <col min="11" max="11" width="8.28125" style="12" hidden="1" customWidth="1"/>
    <col min="12" max="12" width="7.140625" style="12" hidden="1" customWidth="1"/>
    <col min="13" max="13" width="9.7109375" style="29" hidden="1" customWidth="1"/>
    <col min="14" max="14" width="6.57421875" style="12" hidden="1" customWidth="1"/>
    <col min="15" max="15" width="10.7109375" style="2" customWidth="1"/>
    <col min="16" max="16" width="7.28125" style="12" customWidth="1"/>
    <col min="17" max="17" width="6.140625" style="0" hidden="1" customWidth="1"/>
    <col min="18" max="18" width="6.7109375" style="0" hidden="1" customWidth="1"/>
    <col min="19" max="19" width="7.421875" style="0" hidden="1" customWidth="1"/>
    <col min="20" max="20" width="7.8515625" style="0" hidden="1" customWidth="1"/>
    <col min="21" max="21" width="7.140625" style="0" hidden="1" customWidth="1"/>
    <col min="22" max="22" width="10.28125" style="0" hidden="1" customWidth="1"/>
    <col min="23" max="23" width="5.7109375" style="0" hidden="1" customWidth="1"/>
    <col min="24" max="24" width="10.421875" style="0" customWidth="1"/>
    <col min="25" max="25" width="11.28125" style="2" customWidth="1"/>
  </cols>
  <sheetData>
    <row r="1" spans="1:25" s="1" customFormat="1" ht="61.5" customHeight="1">
      <c r="A1" s="1" t="s">
        <v>23</v>
      </c>
      <c r="B1" s="1" t="s">
        <v>24</v>
      </c>
      <c r="C1" s="1" t="s">
        <v>19</v>
      </c>
      <c r="D1" s="1" t="s">
        <v>25</v>
      </c>
      <c r="E1" s="1" t="s">
        <v>26</v>
      </c>
      <c r="F1" s="1" t="s">
        <v>27</v>
      </c>
      <c r="G1" s="1" t="s">
        <v>42</v>
      </c>
      <c r="H1" s="20" t="s">
        <v>41</v>
      </c>
      <c r="I1" s="31" t="s">
        <v>54</v>
      </c>
      <c r="J1" s="11" t="s">
        <v>40</v>
      </c>
      <c r="K1" s="11" t="s">
        <v>45</v>
      </c>
      <c r="L1" s="11" t="s">
        <v>46</v>
      </c>
      <c r="M1" s="27" t="s">
        <v>44</v>
      </c>
      <c r="N1" s="11" t="s">
        <v>47</v>
      </c>
      <c r="O1" s="3" t="s">
        <v>30</v>
      </c>
      <c r="P1" s="11" t="s">
        <v>37</v>
      </c>
      <c r="Q1" s="22" t="s">
        <v>38</v>
      </c>
      <c r="R1" s="22" t="s">
        <v>53</v>
      </c>
      <c r="S1" s="1" t="s">
        <v>39</v>
      </c>
      <c r="T1" s="1" t="s">
        <v>45</v>
      </c>
      <c r="U1" s="1" t="s">
        <v>46</v>
      </c>
      <c r="V1" s="1" t="s">
        <v>55</v>
      </c>
      <c r="W1" s="1" t="s">
        <v>47</v>
      </c>
      <c r="X1" s="1" t="s">
        <v>31</v>
      </c>
      <c r="Y1" s="3" t="s">
        <v>86</v>
      </c>
    </row>
    <row r="2" spans="1:16" ht="12.75">
      <c r="A2" s="14" t="s">
        <v>32</v>
      </c>
      <c r="C2">
        <v>0</v>
      </c>
      <c r="D2" s="14"/>
      <c r="F2">
        <v>0</v>
      </c>
      <c r="G2">
        <v>0</v>
      </c>
      <c r="H2" s="23">
        <f>MATCH($M$2,MonthRates!A$6:A$65,0)</f>
        <v>11</v>
      </c>
      <c r="J2" s="15">
        <f ca="1">-OFFSET(MonthRates!E$6,H2-2,0,1,1)</f>
        <v>-54.46428571428571</v>
      </c>
      <c r="K2" s="15"/>
      <c r="L2" s="15"/>
      <c r="M2" s="26">
        <f>DATE(YEAR($O2),MONTH($O2),1)</f>
        <v>11994</v>
      </c>
      <c r="N2" s="17"/>
      <c r="O2" s="25">
        <v>11994</v>
      </c>
      <c r="P2" s="26"/>
    </row>
    <row r="3" spans="1:16" ht="12.75">
      <c r="A3" s="14"/>
      <c r="D3" s="14"/>
      <c r="H3" s="23"/>
      <c r="I3" s="15"/>
      <c r="J3" s="17">
        <f ca="1">-OFFSET(MonthRates!B$6,H2-1,0,1,1)*O3/7</f>
        <v>0</v>
      </c>
      <c r="K3" s="17"/>
      <c r="L3" s="17"/>
      <c r="M3" s="28"/>
      <c r="N3" s="17"/>
      <c r="O3" s="18">
        <f>O2-M2</f>
        <v>0</v>
      </c>
      <c r="P3" s="16"/>
    </row>
    <row r="4" spans="1:25" ht="12.75">
      <c r="A4" t="s">
        <v>0</v>
      </c>
      <c r="B4" t="s">
        <v>1</v>
      </c>
      <c r="C4">
        <v>2.9</v>
      </c>
      <c r="D4">
        <f>C4-C2</f>
        <v>2.9</v>
      </c>
      <c r="E4" s="8">
        <v>1</v>
      </c>
      <c r="F4">
        <f>D4*E4</f>
        <v>2.9</v>
      </c>
      <c r="G4">
        <f>G2+F4</f>
        <v>2.9</v>
      </c>
      <c r="H4" s="5">
        <f>MATCH(G4-$J$2-$J$3,MonthRates!$E$5:$E$65,1)+IF(ISNA(MATCH(G4-$J$2-$J$3,MonthRates!$E$5:$E$65,0)),1,0)</f>
        <v>12</v>
      </c>
      <c r="I4" s="12">
        <f>G4-$J$2-$J$3</f>
        <v>57.36428571428571</v>
      </c>
      <c r="J4" s="12">
        <f ca="1">OFFSET(MonthRates!$E$6,H4-2,0,1,1)</f>
        <v>60.89285714285714</v>
      </c>
      <c r="K4" s="12">
        <f ca="1">G4-$J$2-$J$3-OFFSET(MonthRates!$E$6,H4-3,0,1,1)</f>
        <v>2.8999999999999986</v>
      </c>
      <c r="L4" s="12">
        <f ca="1">OFFSET(MonthRates!$B$6,H4-2,0,1,1)</f>
        <v>1.5</v>
      </c>
      <c r="M4" s="2">
        <f ca="1">OFFSET(MonthRates!$A$6,H4-2,0,1,1)</f>
        <v>11994</v>
      </c>
      <c r="N4" s="12">
        <f aca="true" t="shared" si="0" ref="N4:N21">K4*7/L4</f>
        <v>13.533333333333326</v>
      </c>
      <c r="O4" s="2">
        <f aca="true" t="shared" si="1" ref="O4:O21">M4-1+(K4*7/L4)</f>
        <v>12006.533333333333</v>
      </c>
      <c r="P4" s="12">
        <f aca="true" t="shared" si="2" ref="P4:P21">P5+F4</f>
        <v>158</v>
      </c>
      <c r="Q4" s="5">
        <f>MATCH(P4-$S$22-$S$23,MonthRates!$E$5:$E$65,1)+1</f>
        <v>50</v>
      </c>
      <c r="R4" s="12">
        <f>P4-$S$22-$S$23</f>
        <v>301.57142857142856</v>
      </c>
      <c r="S4" s="12">
        <f ca="1">OFFSET(MonthRates!$E$6,Q4-2,0,1,1)</f>
        <v>303.75000000000006</v>
      </c>
      <c r="T4" s="12">
        <f ca="1">P4-$S$22-$S$23-OFFSET(MonthRates!$E$6,Q4-3,0,1,1)</f>
        <v>4.464285714285666</v>
      </c>
      <c r="U4" s="12">
        <f ca="1">OFFSET(MonthRates!$B$6,Q4-2,0,1,1)</f>
        <v>1.5</v>
      </c>
      <c r="V4" s="2">
        <f ca="1">OFFSET(MonthRates!$A$6,Q4-2,0,1,1)</f>
        <v>13150</v>
      </c>
      <c r="W4" s="12">
        <f>T4*7/U4</f>
        <v>20.833333333333105</v>
      </c>
      <c r="X4" s="2">
        <f>V4-1+(T4*7/U4)</f>
        <v>13169.833333333334</v>
      </c>
      <c r="Y4" s="2">
        <f aca="true" t="shared" si="3" ref="Y4:Y16">IF(O4&lt;X5,O4,X5)</f>
        <v>12006.533333333333</v>
      </c>
    </row>
    <row r="5" spans="1:25" ht="12.75">
      <c r="A5" t="s">
        <v>1</v>
      </c>
      <c r="B5" t="s">
        <v>2</v>
      </c>
      <c r="C5">
        <v>27.8</v>
      </c>
      <c r="D5">
        <f aca="true" t="shared" si="4" ref="D5:D21">C5-C4</f>
        <v>24.900000000000002</v>
      </c>
      <c r="E5" s="8">
        <v>1</v>
      </c>
      <c r="F5">
        <f aca="true" t="shared" si="5" ref="F5:F21">D5*E5</f>
        <v>24.900000000000002</v>
      </c>
      <c r="G5">
        <f aca="true" t="shared" si="6" ref="G5:G21">G4+F5</f>
        <v>27.8</v>
      </c>
      <c r="H5" s="5">
        <f>MATCH(G5-$J$2-$J$3,MonthRates!$E$5:$E$65,1)+IF(ISNA(MATCH(G5-$J$2-$J$3,MonthRates!$E$5:$E$65,0)),1,0)</f>
        <v>16</v>
      </c>
      <c r="I5" s="12">
        <f aca="true" t="shared" si="7" ref="I5:I21">G5-$J$2-$J$3</f>
        <v>82.2642857142857</v>
      </c>
      <c r="J5" s="12">
        <f ca="1">OFFSET(MonthRates!$E$6,H5-2,0,1,1)</f>
        <v>87.92857142857142</v>
      </c>
      <c r="K5" s="12">
        <f ca="1">G5-$J$2-$J$3-OFFSET(MonthRates!$E$6,H5-3,0,1,1)</f>
        <v>2.085714285714289</v>
      </c>
      <c r="L5" s="12">
        <f ca="1">OFFSET(MonthRates!$B$6,H5-2,0,1,1)</f>
        <v>1.75</v>
      </c>
      <c r="M5" s="2">
        <f ca="1">OFFSET(MonthRates!$A$6,H5-2,0,1,1)</f>
        <v>12114</v>
      </c>
      <c r="N5" s="12">
        <f t="shared" si="0"/>
        <v>8.342857142857156</v>
      </c>
      <c r="O5" s="2">
        <f t="shared" si="1"/>
        <v>12121.342857142858</v>
      </c>
      <c r="P5" s="12">
        <f t="shared" si="2"/>
        <v>155.1</v>
      </c>
      <c r="Q5" s="5">
        <f>MATCH(P5-$S$22-$S$23,MonthRates!$E$5:$E$65,1)+1</f>
        <v>50</v>
      </c>
      <c r="R5" s="12">
        <f aca="true" t="shared" si="8" ref="R5:R21">P5-$S$22-$S$23</f>
        <v>298.6714285714286</v>
      </c>
      <c r="S5" s="12">
        <f ca="1">OFFSET(MonthRates!$E$6,Q5-2,0,1,1)</f>
        <v>303.75000000000006</v>
      </c>
      <c r="T5" s="12">
        <f ca="1">P5-$S$22-$S$23-OFFSET(MonthRates!$E$6,Q5-3,0,1,1)</f>
        <v>1.5642857142856883</v>
      </c>
      <c r="U5" s="12">
        <f ca="1">OFFSET(MonthRates!$B$6,Q5-2,0,1,1)</f>
        <v>1.5</v>
      </c>
      <c r="V5" s="2">
        <f ca="1">OFFSET(MonthRates!$A$6,Q5-2,0,1,1)</f>
        <v>13150</v>
      </c>
      <c r="W5" s="12">
        <f aca="true" t="shared" si="9" ref="W5:W21">T5*7/U5</f>
        <v>7.299999999999879</v>
      </c>
      <c r="X5" s="2">
        <f aca="true" t="shared" si="10" ref="X5:X21">V5-1+(T5*7/U5)</f>
        <v>13156.3</v>
      </c>
      <c r="Y5" s="2">
        <f t="shared" si="3"/>
        <v>12121.342857142858</v>
      </c>
    </row>
    <row r="6" spans="1:25" ht="12.75">
      <c r="A6" t="s">
        <v>2</v>
      </c>
      <c r="B6" t="s">
        <v>3</v>
      </c>
      <c r="C6">
        <v>40.75</v>
      </c>
      <c r="D6">
        <f t="shared" si="4"/>
        <v>12.95</v>
      </c>
      <c r="E6" s="8">
        <v>1</v>
      </c>
      <c r="F6">
        <f t="shared" si="5"/>
        <v>12.95</v>
      </c>
      <c r="G6">
        <f t="shared" si="6"/>
        <v>40.75</v>
      </c>
      <c r="H6" s="5">
        <f>MATCH(G6-$J$2-$J$3,MonthRates!$E$5:$E$65,1)+IF(ISNA(MATCH(G6-$J$2-$J$3,MonthRates!$E$5:$E$65,0)),1,0)</f>
        <v>17</v>
      </c>
      <c r="I6" s="12">
        <f t="shared" si="7"/>
        <v>95.21428571428571</v>
      </c>
      <c r="J6" s="12">
        <f ca="1">OFFSET(MonthRates!$E$6,H6-2,0,1,1)</f>
        <v>95.42857142857142</v>
      </c>
      <c r="K6" s="12">
        <f ca="1">G6-$J$2-$J$3-OFFSET(MonthRates!$E$6,H6-3,0,1,1)</f>
        <v>7.285714285714292</v>
      </c>
      <c r="L6" s="12">
        <f ca="1">OFFSET(MonthRates!$B$6,H6-2,0,1,1)</f>
        <v>1.75</v>
      </c>
      <c r="M6" s="2">
        <f ca="1">OFFSET(MonthRates!$A$6,H6-2,0,1,1)</f>
        <v>12145</v>
      </c>
      <c r="N6" s="12">
        <f t="shared" si="0"/>
        <v>29.142857142857167</v>
      </c>
      <c r="O6" s="2">
        <f t="shared" si="1"/>
        <v>12173.142857142857</v>
      </c>
      <c r="P6" s="12">
        <f t="shared" si="2"/>
        <v>130.2</v>
      </c>
      <c r="Q6" s="5">
        <f>MATCH(P6-$S$22-$S$23,MonthRates!$E$5:$E$65,1)+1</f>
        <v>46</v>
      </c>
      <c r="R6" s="12">
        <f t="shared" si="8"/>
        <v>273.7714285714286</v>
      </c>
      <c r="S6" s="12">
        <f ca="1">OFFSET(MonthRates!$E$6,Q6-2,0,1,1)</f>
        <v>276.2857142857143</v>
      </c>
      <c r="T6" s="12">
        <f ca="1">P6-$S$22-$S$23-OFFSET(MonthRates!$E$6,Q6-3,0,1,1)</f>
        <v>4.985714285714323</v>
      </c>
      <c r="U6" s="12">
        <f ca="1">OFFSET(MonthRates!$B$6,Q6-2,0,1,1)</f>
        <v>1.75</v>
      </c>
      <c r="V6" s="2">
        <f ca="1">OFFSET(MonthRates!$A$6,Q6-2,0,1,1)</f>
        <v>13028</v>
      </c>
      <c r="W6" s="12">
        <f t="shared" si="9"/>
        <v>19.942857142857292</v>
      </c>
      <c r="X6" s="2">
        <f t="shared" si="10"/>
        <v>13046.942857142858</v>
      </c>
      <c r="Y6" s="2">
        <f t="shared" si="3"/>
        <v>12173.142857142857</v>
      </c>
    </row>
    <row r="7" spans="1:25" ht="12.75">
      <c r="A7" t="s">
        <v>3</v>
      </c>
      <c r="B7" t="s">
        <v>4</v>
      </c>
      <c r="C7">
        <v>56</v>
      </c>
      <c r="D7">
        <f t="shared" si="4"/>
        <v>15.25</v>
      </c>
      <c r="E7" s="8">
        <v>1</v>
      </c>
      <c r="F7">
        <f t="shared" si="5"/>
        <v>15.25</v>
      </c>
      <c r="G7">
        <f t="shared" si="6"/>
        <v>56</v>
      </c>
      <c r="H7" s="5">
        <f>MATCH(G7-$J$2-$J$3,MonthRates!$E$5:$E$65,1)+IF(ISNA(MATCH(G7-$J$2-$J$3,MonthRates!$E$5:$E$65,0)),1,0)</f>
        <v>19</v>
      </c>
      <c r="I7" s="12">
        <f t="shared" si="7"/>
        <v>110.46428571428571</v>
      </c>
      <c r="J7" s="12">
        <f ca="1">OFFSET(MonthRates!$E$6,H7-2,0,1,1)</f>
        <v>110.67857142857142</v>
      </c>
      <c r="K7" s="12">
        <f ca="1">G7-$J$2-$J$3-OFFSET(MonthRates!$E$6,H7-3,0,1,1)</f>
        <v>7.285714285714292</v>
      </c>
      <c r="L7" s="12">
        <f ca="1">OFFSET(MonthRates!$B$6,H7-2,0,1,1)</f>
        <v>1.75</v>
      </c>
      <c r="M7" s="2">
        <f ca="1">OFFSET(MonthRates!$A$6,H7-2,0,1,1)</f>
        <v>12206</v>
      </c>
      <c r="N7" s="12">
        <f t="shared" si="0"/>
        <v>29.142857142857167</v>
      </c>
      <c r="O7" s="2">
        <f t="shared" si="1"/>
        <v>12234.142857142857</v>
      </c>
      <c r="P7" s="12">
        <f t="shared" si="2"/>
        <v>117.25</v>
      </c>
      <c r="Q7" s="5">
        <f>MATCH(P7-$S$22-$S$23,MonthRates!$E$5:$E$65,1)+1</f>
        <v>44</v>
      </c>
      <c r="R7" s="12">
        <f t="shared" si="8"/>
        <v>260.82142857142856</v>
      </c>
      <c r="S7" s="12">
        <f ca="1">OFFSET(MonthRates!$E$6,Q7-2,0,1,1)</f>
        <v>261.0357142857143</v>
      </c>
      <c r="T7" s="12">
        <f ca="1">P7-$S$22-$S$23-OFFSET(MonthRates!$E$6,Q7-3,0,1,1)</f>
        <v>7.535714285714278</v>
      </c>
      <c r="U7" s="12">
        <f ca="1">OFFSET(MonthRates!$B$6,Q7-2,0,1,1)</f>
        <v>1.75</v>
      </c>
      <c r="V7" s="2">
        <f ca="1">OFFSET(MonthRates!$A$6,Q7-2,0,1,1)</f>
        <v>12966</v>
      </c>
      <c r="W7" s="12">
        <f t="shared" si="9"/>
        <v>30.14285714285711</v>
      </c>
      <c r="X7" s="2">
        <f t="shared" si="10"/>
        <v>12995.142857142857</v>
      </c>
      <c r="Y7" s="2">
        <f t="shared" si="3"/>
        <v>12234.142857142857</v>
      </c>
    </row>
    <row r="8" spans="1:25" ht="12.75">
      <c r="A8" t="s">
        <v>4</v>
      </c>
      <c r="B8" t="s">
        <v>5</v>
      </c>
      <c r="C8">
        <v>63.5</v>
      </c>
      <c r="D8">
        <f t="shared" si="4"/>
        <v>7.5</v>
      </c>
      <c r="E8" s="8">
        <v>1</v>
      </c>
      <c r="F8">
        <f t="shared" si="5"/>
        <v>7.5</v>
      </c>
      <c r="G8">
        <f t="shared" si="6"/>
        <v>63.5</v>
      </c>
      <c r="H8" s="5">
        <f>MATCH(G8-$J$2-$J$3,MonthRates!$E$5:$E$65,1)+IF(ISNA(MATCH(G8-$J$2-$J$3,MonthRates!$E$5:$E$65,0)),1,0)</f>
        <v>20</v>
      </c>
      <c r="I8" s="12">
        <f t="shared" si="7"/>
        <v>117.96428571428571</v>
      </c>
      <c r="J8" s="12">
        <f ca="1">OFFSET(MonthRates!$E$6,H8-2,0,1,1)</f>
        <v>118.42857142857142</v>
      </c>
      <c r="K8" s="12">
        <f ca="1">G8-$J$2-$J$3-OFFSET(MonthRates!$E$6,H8-3,0,1,1)</f>
        <v>7.285714285714292</v>
      </c>
      <c r="L8" s="12">
        <f ca="1">OFFSET(MonthRates!$B$6,H8-2,0,1,1)</f>
        <v>1.75</v>
      </c>
      <c r="M8" s="2">
        <f ca="1">OFFSET(MonthRates!$A$6,H8-2,0,1,1)</f>
        <v>12236</v>
      </c>
      <c r="N8" s="12">
        <f t="shared" si="0"/>
        <v>29.142857142857167</v>
      </c>
      <c r="O8" s="2">
        <f t="shared" si="1"/>
        <v>12264.142857142857</v>
      </c>
      <c r="P8" s="12">
        <f t="shared" si="2"/>
        <v>102</v>
      </c>
      <c r="Q8" s="5">
        <f>MATCH(P8-$S$22-$S$23,MonthRates!$E$5:$E$65,1)+1</f>
        <v>42</v>
      </c>
      <c r="R8" s="12">
        <f t="shared" si="8"/>
        <v>245.57142857142858</v>
      </c>
      <c r="S8" s="12">
        <f ca="1">OFFSET(MonthRates!$E$6,Q8-2,0,1,1)</f>
        <v>245.78571428571428</v>
      </c>
      <c r="T8" s="12">
        <f ca="1">P8-$S$22-$S$23-OFFSET(MonthRates!$E$6,Q8-3,0,1,1)</f>
        <v>7.535714285714306</v>
      </c>
      <c r="U8" s="12">
        <f ca="1">OFFSET(MonthRates!$B$6,Q8-2,0,1,1)</f>
        <v>1.75</v>
      </c>
      <c r="V8" s="2">
        <f ca="1">OFFSET(MonthRates!$A$6,Q8-2,0,1,1)</f>
        <v>12905</v>
      </c>
      <c r="W8" s="12">
        <f t="shared" si="9"/>
        <v>30.142857142857224</v>
      </c>
      <c r="X8" s="2">
        <f t="shared" si="10"/>
        <v>12934.142857142857</v>
      </c>
      <c r="Y8" s="2">
        <f t="shared" si="3"/>
        <v>12264.142857142857</v>
      </c>
    </row>
    <row r="9" spans="1:25" ht="12.75">
      <c r="A9" t="s">
        <v>5</v>
      </c>
      <c r="B9" t="s">
        <v>6</v>
      </c>
      <c r="C9">
        <v>74.75</v>
      </c>
      <c r="D9">
        <f t="shared" si="4"/>
        <v>11.25</v>
      </c>
      <c r="E9" s="8">
        <v>1</v>
      </c>
      <c r="F9">
        <f t="shared" si="5"/>
        <v>11.25</v>
      </c>
      <c r="G9">
        <f t="shared" si="6"/>
        <v>74.75</v>
      </c>
      <c r="H9" s="5">
        <f>MATCH(G9-$J$2-$J$3,MonthRates!$E$5:$E$65,1)+IF(ISNA(MATCH(G9-$J$2-$J$3,MonthRates!$E$5:$E$65,0)),1,0)</f>
        <v>25</v>
      </c>
      <c r="I9" s="12">
        <f t="shared" si="7"/>
        <v>129.21428571428572</v>
      </c>
      <c r="J9" s="12">
        <f ca="1">OFFSET(MonthRates!$E$6,H9-2,0,1,1)</f>
        <v>129.5</v>
      </c>
      <c r="K9" s="12">
        <f ca="1">G9-$J$2-$J$3-OFFSET(MonthRates!$E$6,H9-3,0,1,1)</f>
        <v>3.035714285714306</v>
      </c>
      <c r="L9" s="12">
        <f ca="1">OFFSET(MonthRates!$B$6,H9-2,0,1,1)</f>
        <v>0.75</v>
      </c>
      <c r="M9" s="2">
        <f ca="1">OFFSET(MonthRates!$A$6,H9-2,0,1,1)</f>
        <v>12389</v>
      </c>
      <c r="N9" s="12">
        <f t="shared" si="0"/>
        <v>28.333333333333524</v>
      </c>
      <c r="O9" s="2">
        <f t="shared" si="1"/>
        <v>12416.333333333334</v>
      </c>
      <c r="P9" s="12">
        <f t="shared" si="2"/>
        <v>94.5</v>
      </c>
      <c r="Q9" s="5">
        <f>MATCH(P9-$S$22-$S$23,MonthRates!$E$5:$E$65,1)+1</f>
        <v>42</v>
      </c>
      <c r="R9" s="12">
        <f t="shared" si="8"/>
        <v>238.07142857142858</v>
      </c>
      <c r="S9" s="12">
        <f ca="1">OFFSET(MonthRates!$E$6,Q9-2,0,1,1)</f>
        <v>245.78571428571428</v>
      </c>
      <c r="T9" s="12">
        <f ca="1">P9-$S$22-$S$23-OFFSET(MonthRates!$E$6,Q9-3,0,1,1)</f>
        <v>0.035714285714306016</v>
      </c>
      <c r="U9" s="12">
        <f ca="1">OFFSET(MonthRates!$B$6,Q9-2,0,1,1)</f>
        <v>1.75</v>
      </c>
      <c r="V9" s="2">
        <f ca="1">OFFSET(MonthRates!$A$6,Q9-2,0,1,1)</f>
        <v>12905</v>
      </c>
      <c r="W9" s="12">
        <f t="shared" si="9"/>
        <v>0.14285714285722406</v>
      </c>
      <c r="X9" s="2">
        <f t="shared" si="10"/>
        <v>12904.142857142857</v>
      </c>
      <c r="Y9" s="2">
        <f t="shared" si="3"/>
        <v>12416.333333333334</v>
      </c>
    </row>
    <row r="10" spans="1:25" ht="12.75">
      <c r="A10" t="s">
        <v>6</v>
      </c>
      <c r="B10" t="s">
        <v>7</v>
      </c>
      <c r="C10">
        <v>78.5</v>
      </c>
      <c r="D10">
        <f t="shared" si="4"/>
        <v>3.75</v>
      </c>
      <c r="E10" s="8">
        <v>1</v>
      </c>
      <c r="F10">
        <f t="shared" si="5"/>
        <v>3.75</v>
      </c>
      <c r="G10">
        <f t="shared" si="6"/>
        <v>78.5</v>
      </c>
      <c r="H10" s="5">
        <f>MATCH(G10-$J$2-$J$3,MonthRates!$E$5:$E$65,1)+IF(ISNA(MATCH(G10-$J$2-$J$3,MonthRates!$E$5:$E$65,0)),1,0)</f>
        <v>27</v>
      </c>
      <c r="I10" s="12">
        <f t="shared" si="7"/>
        <v>132.96428571428572</v>
      </c>
      <c r="J10" s="12">
        <f ca="1">OFFSET(MonthRates!$E$6,H10-2,0,1,1)</f>
        <v>135.82142857142858</v>
      </c>
      <c r="K10" s="12">
        <f ca="1">G10-$J$2-$J$3-OFFSET(MonthRates!$E$6,H10-3,0,1,1)</f>
        <v>0.1428571428571388</v>
      </c>
      <c r="L10" s="12">
        <f ca="1">OFFSET(MonthRates!$B$6,H10-2,0,1,1)</f>
        <v>0.75</v>
      </c>
      <c r="M10" s="2">
        <f ca="1">OFFSET(MonthRates!$A$6,H10-2,0,1,1)</f>
        <v>12451</v>
      </c>
      <c r="N10" s="12">
        <f t="shared" si="0"/>
        <v>1.3333333333332955</v>
      </c>
      <c r="O10" s="2">
        <f t="shared" si="1"/>
        <v>12451.333333333334</v>
      </c>
      <c r="P10" s="12">
        <f t="shared" si="2"/>
        <v>83.25</v>
      </c>
      <c r="Q10" s="5">
        <f>MATCH(P10-$S$22-$S$23,MonthRates!$E$5:$E$65,1)+1</f>
        <v>40</v>
      </c>
      <c r="R10" s="12">
        <f t="shared" si="8"/>
        <v>226.82142857142858</v>
      </c>
      <c r="S10" s="12">
        <f ca="1">OFFSET(MonthRates!$E$6,Q10-2,0,1,1)</f>
        <v>230.53571428571428</v>
      </c>
      <c r="T10" s="12">
        <f ca="1">P10-$S$22-$S$23-OFFSET(MonthRates!$E$6,Q10-3,0,1,1)</f>
        <v>4.035714285714306</v>
      </c>
      <c r="U10" s="12">
        <f ca="1">OFFSET(MonthRates!$B$6,Q10-2,0,1,1)</f>
        <v>1.75</v>
      </c>
      <c r="V10" s="2">
        <f ca="1">OFFSET(MonthRates!$A$6,Q10-2,0,1,1)</f>
        <v>12844</v>
      </c>
      <c r="W10" s="12">
        <f t="shared" si="9"/>
        <v>16.142857142857224</v>
      </c>
      <c r="X10" s="2">
        <f t="shared" si="10"/>
        <v>12859.142857142857</v>
      </c>
      <c r="Y10" s="2">
        <f t="shared" si="3"/>
        <v>12451.333333333334</v>
      </c>
    </row>
    <row r="11" spans="1:25" ht="12.75">
      <c r="A11" t="s">
        <v>7</v>
      </c>
      <c r="B11" t="s">
        <v>8</v>
      </c>
      <c r="C11">
        <v>88.75</v>
      </c>
      <c r="D11">
        <f t="shared" si="4"/>
        <v>10.25</v>
      </c>
      <c r="E11" s="8">
        <v>1</v>
      </c>
      <c r="F11">
        <f t="shared" si="5"/>
        <v>10.25</v>
      </c>
      <c r="G11">
        <f t="shared" si="6"/>
        <v>88.75</v>
      </c>
      <c r="H11" s="5">
        <f>MATCH(G11-$J$2-$J$3,MonthRates!$E$5:$E$65,1)+IF(ISNA(MATCH(G11-$J$2-$J$3,MonthRates!$E$5:$E$65,0)),1,0)</f>
        <v>28</v>
      </c>
      <c r="I11" s="12">
        <f t="shared" si="7"/>
        <v>143.21428571428572</v>
      </c>
      <c r="J11" s="12">
        <f ca="1">OFFSET(MonthRates!$E$6,H11-2,0,1,1)</f>
        <v>143.57142857142858</v>
      </c>
      <c r="K11" s="12">
        <f ca="1">G11-$J$2-$J$3-OFFSET(MonthRates!$E$6,H11-3,0,1,1)</f>
        <v>7.392857142857139</v>
      </c>
      <c r="L11" s="12">
        <f ca="1">OFFSET(MonthRates!$B$6,H11-2,0,1,1)</f>
        <v>1.75</v>
      </c>
      <c r="M11" s="2">
        <f ca="1">OFFSET(MonthRates!$A$6,H11-2,0,1,1)</f>
        <v>12479</v>
      </c>
      <c r="N11" s="12">
        <f t="shared" si="0"/>
        <v>29.571428571428555</v>
      </c>
      <c r="O11" s="2">
        <f t="shared" si="1"/>
        <v>12507.57142857143</v>
      </c>
      <c r="P11" s="12">
        <f t="shared" si="2"/>
        <v>79.5</v>
      </c>
      <c r="Q11" s="5">
        <f>MATCH(P11-$S$22-$S$23,MonthRates!$E$5:$E$65,1)+1</f>
        <v>40</v>
      </c>
      <c r="R11" s="12">
        <f t="shared" si="8"/>
        <v>223.07142857142858</v>
      </c>
      <c r="S11" s="12">
        <f ca="1">OFFSET(MonthRates!$E$6,Q11-2,0,1,1)</f>
        <v>230.53571428571428</v>
      </c>
      <c r="T11" s="12">
        <f ca="1">P11-$S$22-$S$23-OFFSET(MonthRates!$E$6,Q11-3,0,1,1)</f>
        <v>0.285714285714306</v>
      </c>
      <c r="U11" s="12">
        <f ca="1">OFFSET(MonthRates!$B$6,Q11-2,0,1,1)</f>
        <v>1.75</v>
      </c>
      <c r="V11" s="2">
        <f ca="1">OFFSET(MonthRates!$A$6,Q11-2,0,1,1)</f>
        <v>12844</v>
      </c>
      <c r="W11" s="12">
        <f t="shared" si="9"/>
        <v>1.142857142857224</v>
      </c>
      <c r="X11" s="2">
        <f t="shared" si="10"/>
        <v>12844.142857142857</v>
      </c>
      <c r="Y11" s="2">
        <f t="shared" si="3"/>
        <v>12507.57142857143</v>
      </c>
    </row>
    <row r="12" spans="1:25" ht="12.75">
      <c r="A12" t="s">
        <v>8</v>
      </c>
      <c r="B12" t="s">
        <v>9</v>
      </c>
      <c r="C12">
        <v>90.5</v>
      </c>
      <c r="D12">
        <f t="shared" si="4"/>
        <v>1.75</v>
      </c>
      <c r="E12" s="8">
        <v>1</v>
      </c>
      <c r="F12">
        <f t="shared" si="5"/>
        <v>1.75</v>
      </c>
      <c r="G12">
        <f t="shared" si="6"/>
        <v>90.5</v>
      </c>
      <c r="H12" s="5">
        <f>MATCH(G12-$J$2-$J$3,MonthRates!$E$5:$E$65,1)+IF(ISNA(MATCH(G12-$J$2-$J$3,MonthRates!$E$5:$E$65,0)),1,0)</f>
        <v>29</v>
      </c>
      <c r="I12" s="12">
        <f t="shared" si="7"/>
        <v>144.96428571428572</v>
      </c>
      <c r="J12" s="12">
        <f ca="1">OFFSET(MonthRates!$E$6,H12-2,0,1,1)</f>
        <v>151.07142857142858</v>
      </c>
      <c r="K12" s="12">
        <f ca="1">G12-$J$2-$J$3-OFFSET(MonthRates!$E$6,H12-3,0,1,1)</f>
        <v>1.3928571428571388</v>
      </c>
      <c r="L12" s="12">
        <f ca="1">OFFSET(MonthRates!$B$6,H12-2,0,1,1)</f>
        <v>1.75</v>
      </c>
      <c r="M12" s="2">
        <f ca="1">OFFSET(MonthRates!$A$6,H12-2,0,1,1)</f>
        <v>12510</v>
      </c>
      <c r="N12" s="12">
        <f t="shared" si="0"/>
        <v>5.571428571428555</v>
      </c>
      <c r="O12" s="2">
        <f t="shared" si="1"/>
        <v>12514.57142857143</v>
      </c>
      <c r="P12" s="12">
        <f t="shared" si="2"/>
        <v>69.25</v>
      </c>
      <c r="Q12" s="5">
        <f>MATCH(P12-$S$22-$S$23,MonthRates!$E$5:$E$65,1)+1</f>
        <v>38</v>
      </c>
      <c r="R12" s="12">
        <f t="shared" si="8"/>
        <v>212.82142857142858</v>
      </c>
      <c r="S12" s="12">
        <f ca="1">OFFSET(MonthRates!$E$6,Q12-2,0,1,1)</f>
        <v>216.78571428571428</v>
      </c>
      <c r="T12" s="12">
        <f ca="1">P12-$S$22-$S$23-OFFSET(MonthRates!$E$6,Q12-3,0,1,1)</f>
        <v>2.678571428571445</v>
      </c>
      <c r="U12" s="12">
        <f ca="1">OFFSET(MonthRates!$B$6,Q12-2,0,1,1)</f>
        <v>1.5</v>
      </c>
      <c r="V12" s="2">
        <f ca="1">OFFSET(MonthRates!$A$6,Q12-2,0,1,1)</f>
        <v>12785</v>
      </c>
      <c r="W12" s="12">
        <f t="shared" si="9"/>
        <v>12.500000000000076</v>
      </c>
      <c r="X12" s="2">
        <f t="shared" si="10"/>
        <v>12796.5</v>
      </c>
      <c r="Y12" s="2">
        <f t="shared" si="3"/>
        <v>12514.57142857143</v>
      </c>
    </row>
    <row r="13" spans="1:25" ht="12.75">
      <c r="A13" t="s">
        <v>9</v>
      </c>
      <c r="B13" t="s">
        <v>10</v>
      </c>
      <c r="C13">
        <v>108</v>
      </c>
      <c r="D13">
        <f t="shared" si="4"/>
        <v>17.5</v>
      </c>
      <c r="E13" s="8">
        <v>1</v>
      </c>
      <c r="F13">
        <f t="shared" si="5"/>
        <v>17.5</v>
      </c>
      <c r="G13">
        <f t="shared" si="6"/>
        <v>108</v>
      </c>
      <c r="H13" s="5">
        <f>MATCH(G13-$J$2-$J$3,MonthRates!$E$5:$E$65,1)+IF(ISNA(MATCH(G13-$J$2-$J$3,MonthRates!$E$5:$E$65,0)),1,0)</f>
        <v>31</v>
      </c>
      <c r="I13" s="12">
        <f t="shared" si="7"/>
        <v>162.46428571428572</v>
      </c>
      <c r="J13" s="12">
        <f ca="1">OFFSET(MonthRates!$E$6,H13-2,0,1,1)</f>
        <v>166.32142857142858</v>
      </c>
      <c r="K13" s="12">
        <f ca="1">G13-$J$2-$J$3-OFFSET(MonthRates!$E$6,H13-3,0,1,1)</f>
        <v>3.642857142857139</v>
      </c>
      <c r="L13" s="12">
        <f ca="1">OFFSET(MonthRates!$B$6,H13-2,0,1,1)</f>
        <v>1.75</v>
      </c>
      <c r="M13" s="2">
        <f ca="1">OFFSET(MonthRates!$A$6,H13-2,0,1,1)</f>
        <v>12571</v>
      </c>
      <c r="N13" s="12">
        <f t="shared" si="0"/>
        <v>14.571428571428555</v>
      </c>
      <c r="O13" s="2">
        <f t="shared" si="1"/>
        <v>12584.57142857143</v>
      </c>
      <c r="P13" s="12">
        <f t="shared" si="2"/>
        <v>67.5</v>
      </c>
      <c r="Q13" s="5">
        <f>MATCH(P13-$S$22-$S$23,MonthRates!$E$5:$E$65,1)+1</f>
        <v>38</v>
      </c>
      <c r="R13" s="12">
        <f t="shared" si="8"/>
        <v>211.07142857142858</v>
      </c>
      <c r="S13" s="12">
        <f ca="1">OFFSET(MonthRates!$E$6,Q13-2,0,1,1)</f>
        <v>216.78571428571428</v>
      </c>
      <c r="T13" s="12">
        <f ca="1">P13-$S$22-$S$23-OFFSET(MonthRates!$E$6,Q13-3,0,1,1)</f>
        <v>0.9285714285714448</v>
      </c>
      <c r="U13" s="12">
        <f ca="1">OFFSET(MonthRates!$B$6,Q13-2,0,1,1)</f>
        <v>1.5</v>
      </c>
      <c r="V13" s="2">
        <f ca="1">OFFSET(MonthRates!$A$6,Q13-2,0,1,1)</f>
        <v>12785</v>
      </c>
      <c r="W13" s="12">
        <f t="shared" si="9"/>
        <v>4.333333333333409</v>
      </c>
      <c r="X13" s="2">
        <f t="shared" si="10"/>
        <v>12788.333333333334</v>
      </c>
      <c r="Y13" s="2">
        <f t="shared" si="3"/>
        <v>12584.57142857143</v>
      </c>
    </row>
    <row r="14" spans="1:25" ht="12.75">
      <c r="A14" t="s">
        <v>10</v>
      </c>
      <c r="B14" t="s">
        <v>11</v>
      </c>
      <c r="C14">
        <v>112</v>
      </c>
      <c r="D14">
        <f t="shared" si="4"/>
        <v>4</v>
      </c>
      <c r="E14" s="8">
        <v>1</v>
      </c>
      <c r="F14">
        <f t="shared" si="5"/>
        <v>4</v>
      </c>
      <c r="G14">
        <f t="shared" si="6"/>
        <v>112</v>
      </c>
      <c r="H14" s="5">
        <f>MATCH(G14-$J$2-$J$3,MonthRates!$E$5:$E$65,1)+IF(ISNA(MATCH(G14-$J$2-$J$3,MonthRates!$E$5:$E$65,0)),1,0)</f>
        <v>32</v>
      </c>
      <c r="I14" s="12">
        <f t="shared" si="7"/>
        <v>166.46428571428572</v>
      </c>
      <c r="J14" s="12">
        <f ca="1">OFFSET(MonthRates!$E$6,H14-2,0,1,1)</f>
        <v>174.07142857142858</v>
      </c>
      <c r="K14" s="12">
        <f ca="1">G14-$J$2-$J$3-OFFSET(MonthRates!$E$6,H14-3,0,1,1)</f>
        <v>0.1428571428571388</v>
      </c>
      <c r="L14" s="12">
        <f ca="1">OFFSET(MonthRates!$B$6,H14-2,0,1,1)</f>
        <v>1.75</v>
      </c>
      <c r="M14" s="2">
        <f ca="1">OFFSET(MonthRates!$A$6,H14-2,0,1,1)</f>
        <v>12601</v>
      </c>
      <c r="N14" s="12">
        <f t="shared" si="0"/>
        <v>0.5714285714285552</v>
      </c>
      <c r="O14" s="2">
        <f t="shared" si="1"/>
        <v>12600.57142857143</v>
      </c>
      <c r="P14" s="12">
        <f t="shared" si="2"/>
        <v>50</v>
      </c>
      <c r="Q14" s="5">
        <f>MATCH(P14-$S$22-$S$23,MonthRates!$E$5:$E$65,1)+1</f>
        <v>35</v>
      </c>
      <c r="R14" s="12">
        <f t="shared" si="8"/>
        <v>193.57142857142858</v>
      </c>
      <c r="S14" s="12">
        <f ca="1">OFFSET(MonthRates!$E$6,Q14-2,0,1,1)</f>
        <v>197.07142857142858</v>
      </c>
      <c r="T14" s="12">
        <f ca="1">P14-$S$22-$S$23-OFFSET(MonthRates!$E$6,Q14-3,0,1,1)</f>
        <v>4.25</v>
      </c>
      <c r="U14" s="12">
        <f ca="1">OFFSET(MonthRates!$B$6,Q14-2,0,1,1)</f>
        <v>1.75</v>
      </c>
      <c r="V14" s="2">
        <f ca="1">OFFSET(MonthRates!$A$6,Q14-2,0,1,1)</f>
        <v>12693</v>
      </c>
      <c r="W14" s="12">
        <f t="shared" si="9"/>
        <v>17</v>
      </c>
      <c r="X14" s="2">
        <f t="shared" si="10"/>
        <v>12709</v>
      </c>
      <c r="Y14" s="2">
        <f t="shared" si="3"/>
        <v>12600.57142857143</v>
      </c>
    </row>
    <row r="15" spans="1:25" ht="12.75">
      <c r="A15" t="s">
        <v>11</v>
      </c>
      <c r="B15" t="s">
        <v>12</v>
      </c>
      <c r="C15">
        <v>114</v>
      </c>
      <c r="D15">
        <f t="shared" si="4"/>
        <v>2</v>
      </c>
      <c r="E15" s="8">
        <v>1</v>
      </c>
      <c r="F15">
        <f t="shared" si="5"/>
        <v>2</v>
      </c>
      <c r="G15">
        <f t="shared" si="6"/>
        <v>114</v>
      </c>
      <c r="H15" s="5">
        <f>MATCH(G15-$J$2-$J$3,MonthRates!$E$5:$E$65,1)+IF(ISNA(MATCH(G15-$J$2-$J$3,MonthRates!$E$5:$E$65,0)),1,0)</f>
        <v>32</v>
      </c>
      <c r="I15" s="12">
        <f t="shared" si="7"/>
        <v>168.46428571428572</v>
      </c>
      <c r="J15" s="12">
        <f ca="1">OFFSET(MonthRates!$E$6,H15-2,0,1,1)</f>
        <v>174.07142857142858</v>
      </c>
      <c r="K15" s="12">
        <f ca="1">G15-$J$2-$J$3-OFFSET(MonthRates!$E$6,H15-3,0,1,1)</f>
        <v>2.142857142857139</v>
      </c>
      <c r="L15" s="12">
        <f ca="1">OFFSET(MonthRates!$B$6,H15-2,0,1,1)</f>
        <v>1.75</v>
      </c>
      <c r="M15" s="2">
        <f ca="1">OFFSET(MonthRates!$A$6,H15-2,0,1,1)</f>
        <v>12601</v>
      </c>
      <c r="N15" s="12">
        <f t="shared" si="0"/>
        <v>8.571428571428555</v>
      </c>
      <c r="O15" s="2">
        <f t="shared" si="1"/>
        <v>12608.57142857143</v>
      </c>
      <c r="P15" s="12">
        <f t="shared" si="2"/>
        <v>46</v>
      </c>
      <c r="Q15" s="5">
        <f>MATCH(P15-$S$22-$S$23,MonthRates!$E$5:$E$65,1)+1</f>
        <v>35</v>
      </c>
      <c r="R15" s="12">
        <f t="shared" si="8"/>
        <v>189.57142857142858</v>
      </c>
      <c r="S15" s="12">
        <f ca="1">OFFSET(MonthRates!$E$6,Q15-2,0,1,1)</f>
        <v>197.07142857142858</v>
      </c>
      <c r="T15" s="12">
        <f ca="1">P15-$S$22-$S$23-OFFSET(MonthRates!$E$6,Q15-3,0,1,1)</f>
        <v>0.25</v>
      </c>
      <c r="U15" s="12">
        <f ca="1">OFFSET(MonthRates!$B$6,Q15-2,0,1,1)</f>
        <v>1.75</v>
      </c>
      <c r="V15" s="2">
        <f ca="1">OFFSET(MonthRates!$A$6,Q15-2,0,1,1)</f>
        <v>12693</v>
      </c>
      <c r="W15" s="12">
        <f t="shared" si="9"/>
        <v>1</v>
      </c>
      <c r="X15" s="2">
        <f t="shared" si="10"/>
        <v>12693</v>
      </c>
      <c r="Y15" s="2">
        <f t="shared" si="3"/>
        <v>12608.57142857143</v>
      </c>
    </row>
    <row r="16" spans="1:25" ht="12.75">
      <c r="A16" t="s">
        <v>12</v>
      </c>
      <c r="B16" t="s">
        <v>13</v>
      </c>
      <c r="C16">
        <v>119</v>
      </c>
      <c r="D16">
        <f t="shared" si="4"/>
        <v>5</v>
      </c>
      <c r="E16" s="8">
        <v>1</v>
      </c>
      <c r="F16">
        <f t="shared" si="5"/>
        <v>5</v>
      </c>
      <c r="G16">
        <f t="shared" si="6"/>
        <v>119</v>
      </c>
      <c r="H16" s="5">
        <f>MATCH(G16-$J$2-$J$3,MonthRates!$E$5:$E$65,1)+IF(ISNA(MATCH(G16-$J$2-$J$3,MonthRates!$E$5:$E$65,0)),1,0)</f>
        <v>32</v>
      </c>
      <c r="I16" s="12">
        <f t="shared" si="7"/>
        <v>173.46428571428572</v>
      </c>
      <c r="J16" s="12">
        <f ca="1">OFFSET(MonthRates!$E$6,H16-2,0,1,1)</f>
        <v>174.07142857142858</v>
      </c>
      <c r="K16" s="12">
        <f ca="1">G16-$J$2-$J$3-OFFSET(MonthRates!$E$6,H16-3,0,1,1)</f>
        <v>7.142857142857139</v>
      </c>
      <c r="L16" s="12">
        <f ca="1">OFFSET(MonthRates!$B$6,H16-2,0,1,1)</f>
        <v>1.75</v>
      </c>
      <c r="M16" s="2">
        <f ca="1">OFFSET(MonthRates!$A$6,H16-2,0,1,1)</f>
        <v>12601</v>
      </c>
      <c r="N16" s="12">
        <f t="shared" si="0"/>
        <v>28.571428571428555</v>
      </c>
      <c r="O16" s="2">
        <f t="shared" si="1"/>
        <v>12628.57142857143</v>
      </c>
      <c r="P16" s="12">
        <f t="shared" si="2"/>
        <v>44</v>
      </c>
      <c r="Q16" s="5">
        <f>MATCH(P16-$S$22-$S$23,MonthRates!$E$5:$E$65,1)+1</f>
        <v>34</v>
      </c>
      <c r="R16" s="12">
        <f t="shared" si="8"/>
        <v>187.57142857142858</v>
      </c>
      <c r="S16" s="12">
        <f ca="1">OFFSET(MonthRates!$E$6,Q16-2,0,1,1)</f>
        <v>189.32142857142858</v>
      </c>
      <c r="T16" s="12">
        <f ca="1">P16-$S$22-$S$23-OFFSET(MonthRates!$E$6,Q16-3,0,1,1)</f>
        <v>5.75</v>
      </c>
      <c r="U16" s="12">
        <f ca="1">OFFSET(MonthRates!$B$6,Q16-2,0,1,1)</f>
        <v>1.75</v>
      </c>
      <c r="V16" s="2">
        <f ca="1">OFFSET(MonthRates!$A$6,Q16-2,0,1,1)</f>
        <v>12663</v>
      </c>
      <c r="W16" s="12">
        <f t="shared" si="9"/>
        <v>23</v>
      </c>
      <c r="X16" s="2">
        <f t="shared" si="10"/>
        <v>12685</v>
      </c>
      <c r="Y16" s="2">
        <f t="shared" si="3"/>
        <v>12628.57142857143</v>
      </c>
    </row>
    <row r="17" spans="1:25" ht="12.75">
      <c r="A17" t="s">
        <v>13</v>
      </c>
      <c r="B17" t="s">
        <v>14</v>
      </c>
      <c r="C17">
        <v>134</v>
      </c>
      <c r="D17">
        <f t="shared" si="4"/>
        <v>15</v>
      </c>
      <c r="E17" s="8">
        <v>1</v>
      </c>
      <c r="F17">
        <f t="shared" si="5"/>
        <v>15</v>
      </c>
      <c r="G17">
        <f t="shared" si="6"/>
        <v>134</v>
      </c>
      <c r="H17" s="5">
        <f>MATCH(G17-$J$2-$J$3,MonthRates!$E$5:$E$65,1)+IF(ISNA(MATCH(G17-$J$2-$J$3,MonthRates!$E$5:$E$65,0)),1,0)</f>
        <v>34</v>
      </c>
      <c r="I17" s="12">
        <f t="shared" si="7"/>
        <v>188.46428571428572</v>
      </c>
      <c r="J17" s="12">
        <f ca="1">OFFSET(MonthRates!$E$6,H17-2,0,1,1)</f>
        <v>189.32142857142858</v>
      </c>
      <c r="K17" s="12">
        <f ca="1">G17-$J$2-$J$3-OFFSET(MonthRates!$E$6,H17-3,0,1,1)</f>
        <v>6.642857142857139</v>
      </c>
      <c r="L17" s="12">
        <f ca="1">OFFSET(MonthRates!$B$6,H17-2,0,1,1)</f>
        <v>1.75</v>
      </c>
      <c r="M17" s="2">
        <f ca="1">OFFSET(MonthRates!$A$6,H17-2,0,1,1)</f>
        <v>12663</v>
      </c>
      <c r="N17" s="12">
        <f t="shared" si="0"/>
        <v>26.571428571428555</v>
      </c>
      <c r="O17" s="2">
        <f t="shared" si="1"/>
        <v>12688.57142857143</v>
      </c>
      <c r="P17" s="12">
        <f t="shared" si="2"/>
        <v>39</v>
      </c>
      <c r="Q17" s="5">
        <f>MATCH(P17-$S$22-$S$23,MonthRates!$E$5:$E$65,1)+1</f>
        <v>34</v>
      </c>
      <c r="R17" s="12">
        <f t="shared" si="8"/>
        <v>182.57142857142858</v>
      </c>
      <c r="S17" s="12">
        <f ca="1">OFFSET(MonthRates!$E$6,Q17-2,0,1,1)</f>
        <v>189.32142857142858</v>
      </c>
      <c r="T17" s="12">
        <f ca="1">P17-$S$22-$S$23-OFFSET(MonthRates!$E$6,Q17-3,0,1,1)</f>
        <v>0.75</v>
      </c>
      <c r="U17" s="12">
        <f ca="1">OFFSET(MonthRates!$B$6,Q17-2,0,1,1)</f>
        <v>1.75</v>
      </c>
      <c r="V17" s="2">
        <f ca="1">OFFSET(MonthRates!$A$6,Q17-2,0,1,1)</f>
        <v>12663</v>
      </c>
      <c r="W17" s="12">
        <f t="shared" si="9"/>
        <v>3</v>
      </c>
      <c r="X17" s="2">
        <f t="shared" si="10"/>
        <v>12665</v>
      </c>
      <c r="Y17" s="2">
        <f>IF(O17&lt;X18,O17,X18)</f>
        <v>12605</v>
      </c>
    </row>
    <row r="18" spans="1:25" ht="12.75">
      <c r="A18" t="s">
        <v>14</v>
      </c>
      <c r="B18" t="s">
        <v>15</v>
      </c>
      <c r="C18">
        <v>151</v>
      </c>
      <c r="D18">
        <f t="shared" si="4"/>
        <v>17</v>
      </c>
      <c r="E18" s="8">
        <v>1</v>
      </c>
      <c r="F18">
        <f t="shared" si="5"/>
        <v>17</v>
      </c>
      <c r="G18">
        <f t="shared" si="6"/>
        <v>151</v>
      </c>
      <c r="H18" s="5">
        <f>MATCH(G18-$J$2-$J$3,MonthRates!$E$5:$E$65,1)+IF(ISNA(MATCH(G18-$J$2-$J$3,MonthRates!$E$5:$E$65,0)),1,0)</f>
        <v>37</v>
      </c>
      <c r="I18" s="12">
        <f t="shared" si="7"/>
        <v>205.46428571428572</v>
      </c>
      <c r="J18" s="12">
        <f ca="1">OFFSET(MonthRates!$E$6,H18-2,0,1,1)</f>
        <v>210.14285714285714</v>
      </c>
      <c r="K18" s="12">
        <f ca="1">G18-$J$2-$J$3-OFFSET(MonthRates!$E$6,H18-3,0,1,1)</f>
        <v>1.9642857142857224</v>
      </c>
      <c r="L18" s="12">
        <f ca="1">OFFSET(MonthRates!$B$6,H18-2,0,1,1)</f>
        <v>1.5</v>
      </c>
      <c r="M18" s="2">
        <f ca="1">OFFSET(MonthRates!$A$6,H18-2,0,1,1)</f>
        <v>12754</v>
      </c>
      <c r="N18" s="12">
        <f t="shared" si="0"/>
        <v>9.166666666666705</v>
      </c>
      <c r="O18" s="2">
        <f t="shared" si="1"/>
        <v>12762.166666666666</v>
      </c>
      <c r="P18" s="12">
        <f t="shared" si="2"/>
        <v>24</v>
      </c>
      <c r="Q18" s="5">
        <f>MATCH(P18-$S$22-$S$23,MonthRates!$E$5:$E$65,1)+1</f>
        <v>32</v>
      </c>
      <c r="R18" s="12">
        <f t="shared" si="8"/>
        <v>167.57142857142858</v>
      </c>
      <c r="S18" s="12">
        <f ca="1">OFFSET(MonthRates!$E$6,Q18-2,0,1,1)</f>
        <v>174.07142857142858</v>
      </c>
      <c r="T18" s="12">
        <f ca="1">P18-$S$22-$S$23-OFFSET(MonthRates!$E$6,Q18-3,0,1,1)</f>
        <v>1.25</v>
      </c>
      <c r="U18" s="12">
        <f ca="1">OFFSET(MonthRates!$B$6,Q18-2,0,1,1)</f>
        <v>1.75</v>
      </c>
      <c r="V18" s="2">
        <f ca="1">OFFSET(MonthRates!$A$6,Q18-2,0,1,1)</f>
        <v>12601</v>
      </c>
      <c r="W18" s="12">
        <f t="shared" si="9"/>
        <v>5</v>
      </c>
      <c r="X18" s="2">
        <f t="shared" si="10"/>
        <v>12605</v>
      </c>
      <c r="Y18" s="2">
        <f>IF(O18&lt;X19,O18,X19)</f>
        <v>12537</v>
      </c>
    </row>
    <row r="19" spans="1:25" ht="12.75">
      <c r="A19" t="s">
        <v>15</v>
      </c>
      <c r="B19" t="s">
        <v>16</v>
      </c>
      <c r="C19">
        <v>153</v>
      </c>
      <c r="D19">
        <f t="shared" si="4"/>
        <v>2</v>
      </c>
      <c r="E19" s="8">
        <v>1</v>
      </c>
      <c r="F19">
        <f t="shared" si="5"/>
        <v>2</v>
      </c>
      <c r="G19">
        <f t="shared" si="6"/>
        <v>153</v>
      </c>
      <c r="H19" s="5">
        <f>MATCH(G19-$J$2-$J$3,MonthRates!$E$5:$E$65,1)+IF(ISNA(MATCH(G19-$J$2-$J$3,MonthRates!$E$5:$E$65,0)),1,0)</f>
        <v>37</v>
      </c>
      <c r="I19" s="12">
        <f t="shared" si="7"/>
        <v>207.46428571428572</v>
      </c>
      <c r="J19" s="12">
        <f ca="1">OFFSET(MonthRates!$E$6,H19-2,0,1,1)</f>
        <v>210.14285714285714</v>
      </c>
      <c r="K19" s="12">
        <f ca="1">G19-$J$2-$J$3-OFFSET(MonthRates!$E$6,H19-3,0,1,1)</f>
        <v>3.9642857142857224</v>
      </c>
      <c r="L19" s="12">
        <f ca="1">OFFSET(MonthRates!$B$6,H19-2,0,1,1)</f>
        <v>1.5</v>
      </c>
      <c r="M19" s="2">
        <f ca="1">OFFSET(MonthRates!$A$6,H19-2,0,1,1)</f>
        <v>12754</v>
      </c>
      <c r="N19" s="12">
        <f t="shared" si="0"/>
        <v>18.50000000000004</v>
      </c>
      <c r="O19" s="2">
        <f t="shared" si="1"/>
        <v>12771.5</v>
      </c>
      <c r="P19" s="12">
        <f t="shared" si="2"/>
        <v>7</v>
      </c>
      <c r="Q19" s="5">
        <f>MATCH(P19-$S$22-$S$23,MonthRates!$E$5:$E$65,1)+1</f>
        <v>29</v>
      </c>
      <c r="R19" s="12">
        <f t="shared" si="8"/>
        <v>150.57142857142858</v>
      </c>
      <c r="S19" s="12">
        <f ca="1">OFFSET(MonthRates!$E$6,Q19-2,0,1,1)</f>
        <v>151.07142857142858</v>
      </c>
      <c r="T19" s="12">
        <f ca="1">P19-$S$22-$S$23-OFFSET(MonthRates!$E$6,Q19-3,0,1,1)</f>
        <v>7</v>
      </c>
      <c r="U19" s="12">
        <f ca="1">OFFSET(MonthRates!$B$6,Q19-2,0,1,1)</f>
        <v>1.75</v>
      </c>
      <c r="V19" s="2">
        <f ca="1">OFFSET(MonthRates!$A$6,Q19-2,0,1,1)</f>
        <v>12510</v>
      </c>
      <c r="W19" s="12">
        <f t="shared" si="9"/>
        <v>28</v>
      </c>
      <c r="X19" s="2">
        <f t="shared" si="10"/>
        <v>12537</v>
      </c>
      <c r="Y19" s="2">
        <f>IF(O19&lt;X20,O19,X20)</f>
        <v>12529</v>
      </c>
    </row>
    <row r="20" spans="1:25" ht="12.75">
      <c r="A20" t="s">
        <v>16</v>
      </c>
      <c r="B20" t="s">
        <v>17</v>
      </c>
      <c r="C20">
        <v>155</v>
      </c>
      <c r="D20">
        <f t="shared" si="4"/>
        <v>2</v>
      </c>
      <c r="E20" s="8">
        <v>1</v>
      </c>
      <c r="F20">
        <f t="shared" si="5"/>
        <v>2</v>
      </c>
      <c r="G20">
        <f t="shared" si="6"/>
        <v>155</v>
      </c>
      <c r="H20" s="5">
        <f>MATCH(G20-$J$2-$J$3,MonthRates!$E$5:$E$65,1)+IF(ISNA(MATCH(G20-$J$2-$J$3,MonthRates!$E$5:$E$65,0)),1,0)</f>
        <v>37</v>
      </c>
      <c r="I20" s="12">
        <f t="shared" si="7"/>
        <v>209.46428571428572</v>
      </c>
      <c r="J20" s="12">
        <f ca="1">OFFSET(MonthRates!$E$6,H20-2,0,1,1)</f>
        <v>210.14285714285714</v>
      </c>
      <c r="K20" s="12">
        <f ca="1">G20-$J$2-$J$3-OFFSET(MonthRates!$E$6,H20-3,0,1,1)</f>
        <v>5.964285714285722</v>
      </c>
      <c r="L20" s="12">
        <f ca="1">OFFSET(MonthRates!$B$6,H20-2,0,1,1)</f>
        <v>1.5</v>
      </c>
      <c r="M20" s="2">
        <f ca="1">OFFSET(MonthRates!$A$6,H20-2,0,1,1)</f>
        <v>12754</v>
      </c>
      <c r="N20" s="12">
        <f t="shared" si="0"/>
        <v>27.83333333333337</v>
      </c>
      <c r="O20" s="2">
        <f t="shared" si="1"/>
        <v>12780.833333333334</v>
      </c>
      <c r="P20" s="12">
        <f t="shared" si="2"/>
        <v>5</v>
      </c>
      <c r="Q20" s="5">
        <f>MATCH(P20-$S$22-$S$23,MonthRates!$E$5:$E$65,1)+1</f>
        <v>29</v>
      </c>
      <c r="R20" s="12">
        <f t="shared" si="8"/>
        <v>148.57142857142858</v>
      </c>
      <c r="S20" s="12">
        <f ca="1">OFFSET(MonthRates!$E$6,Q20-2,0,1,1)</f>
        <v>151.07142857142858</v>
      </c>
      <c r="T20" s="12">
        <f ca="1">P20-$S$22-$S$23-OFFSET(MonthRates!$E$6,Q20-3,0,1,1)</f>
        <v>5</v>
      </c>
      <c r="U20" s="12">
        <f ca="1">OFFSET(MonthRates!$B$6,Q20-2,0,1,1)</f>
        <v>1.75</v>
      </c>
      <c r="V20" s="2">
        <f ca="1">OFFSET(MonthRates!$A$6,Q20-2,0,1,1)</f>
        <v>12510</v>
      </c>
      <c r="W20" s="12">
        <f t="shared" si="9"/>
        <v>20</v>
      </c>
      <c r="X20" s="2">
        <f t="shared" si="10"/>
        <v>12529</v>
      </c>
      <c r="Y20" s="2">
        <f>IF(O20&lt;X21,O20,X21)</f>
        <v>12521</v>
      </c>
    </row>
    <row r="21" spans="1:25" ht="12.75">
      <c r="A21" t="s">
        <v>17</v>
      </c>
      <c r="B21" t="s">
        <v>18</v>
      </c>
      <c r="C21">
        <v>158</v>
      </c>
      <c r="D21">
        <f t="shared" si="4"/>
        <v>3</v>
      </c>
      <c r="E21" s="8">
        <v>1</v>
      </c>
      <c r="F21">
        <f t="shared" si="5"/>
        <v>3</v>
      </c>
      <c r="G21">
        <f t="shared" si="6"/>
        <v>158</v>
      </c>
      <c r="H21" s="5">
        <f>MATCH(G21-$J$2-$J$3,MonthRates!$E$5:$E$65,1)+IF(ISNA(MATCH(G21-$J$2-$J$3,MonthRates!$E$5:$E$65,0)),1,0)</f>
        <v>38</v>
      </c>
      <c r="I21" s="12">
        <f t="shared" si="7"/>
        <v>212.46428571428572</v>
      </c>
      <c r="J21" s="12">
        <f ca="1">OFFSET(MonthRates!$E$6,H21-2,0,1,1)</f>
        <v>216.78571428571428</v>
      </c>
      <c r="K21" s="12">
        <f ca="1">G21-$J$2-$J$3-OFFSET(MonthRates!$E$6,H21-3,0,1,1)</f>
        <v>2.3214285714285836</v>
      </c>
      <c r="L21" s="12">
        <f ca="1">OFFSET(MonthRates!$B$6,H21-2,0,1,1)</f>
        <v>1.5</v>
      </c>
      <c r="M21" s="2">
        <f ca="1">OFFSET(MonthRates!$A$6,H21-2,0,1,1)</f>
        <v>12785</v>
      </c>
      <c r="N21" s="12">
        <f t="shared" si="0"/>
        <v>10.83333333333339</v>
      </c>
      <c r="O21" s="2">
        <f t="shared" si="1"/>
        <v>12794.833333333334</v>
      </c>
      <c r="P21" s="12">
        <f t="shared" si="2"/>
        <v>3</v>
      </c>
      <c r="Q21" s="5">
        <f>MATCH(P21-$S$22-$S$23,MonthRates!$E$5:$E$65,1)+1</f>
        <v>29</v>
      </c>
      <c r="R21" s="12">
        <f t="shared" si="8"/>
        <v>146.57142857142858</v>
      </c>
      <c r="S21" s="12">
        <f ca="1">OFFSET(MonthRates!$E$6,Q21-2,0,1,1)</f>
        <v>151.07142857142858</v>
      </c>
      <c r="T21" s="12">
        <f ca="1">P21-$S$22-$S$23-OFFSET(MonthRates!$E$6,Q21-3,0,1,1)</f>
        <v>3</v>
      </c>
      <c r="U21" s="12">
        <f ca="1">OFFSET(MonthRates!$B$6,Q21-2,0,1,1)</f>
        <v>1.75</v>
      </c>
      <c r="V21" s="2">
        <f ca="1">OFFSET(MonthRates!$A$6,Q21-2,0,1,1)</f>
        <v>12510</v>
      </c>
      <c r="W21" s="12">
        <f t="shared" si="9"/>
        <v>12</v>
      </c>
      <c r="X21" s="2">
        <f t="shared" si="10"/>
        <v>12521</v>
      </c>
      <c r="Y21" s="2">
        <f>IF(O21&lt;X22,O21,X22)</f>
        <v>12510</v>
      </c>
    </row>
    <row r="22" spans="1:24" ht="12.75">
      <c r="A22" s="14" t="s">
        <v>33</v>
      </c>
      <c r="F22">
        <v>0</v>
      </c>
      <c r="G22">
        <v>0</v>
      </c>
      <c r="J22" s="15"/>
      <c r="K22" s="15"/>
      <c r="L22" s="15"/>
      <c r="O22" s="24"/>
      <c r="P22" s="21">
        <v>0</v>
      </c>
      <c r="Q22" s="23">
        <f>MATCH($V$22,MonthRates!A$6:A$65,0)</f>
        <v>28</v>
      </c>
      <c r="S22" s="15">
        <f ca="1">-OFFSET(MonthRates!E$6,Q22-2,0,1,1)</f>
        <v>-143.57142857142858</v>
      </c>
      <c r="T22" s="15"/>
      <c r="U22" s="15"/>
      <c r="V22" s="26">
        <f>DATE(YEAR($X22),MONTH($X22),1)</f>
        <v>12510</v>
      </c>
      <c r="W22" s="15"/>
      <c r="X22" s="25">
        <v>12510</v>
      </c>
    </row>
    <row r="23" spans="1:24" ht="12.75">
      <c r="A23" s="14"/>
      <c r="J23" s="17"/>
      <c r="K23" s="17"/>
      <c r="L23" s="17"/>
      <c r="O23" s="18">
        <f>O22-P23+1</f>
        <v>1</v>
      </c>
      <c r="P23" s="16"/>
      <c r="S23" s="17">
        <f ca="1">-OFFSET(MonthRates!B$6,Q22-1,0,1,1)*X23/7</f>
        <v>0</v>
      </c>
      <c r="V23" s="18"/>
      <c r="X23" s="18">
        <f>X22-V22</f>
        <v>0</v>
      </c>
    </row>
    <row r="24" spans="1:24" ht="12.75">
      <c r="A24" s="14" t="s">
        <v>85</v>
      </c>
      <c r="J24" s="17"/>
      <c r="K24" s="17"/>
      <c r="L24" s="17"/>
      <c r="O24" s="18"/>
      <c r="P24" s="16"/>
      <c r="S24" s="17"/>
      <c r="V24" s="18"/>
      <c r="X24" s="18"/>
    </row>
    <row r="25" spans="1:24" ht="12.75">
      <c r="A25" s="14"/>
      <c r="J25" s="17"/>
      <c r="K25" s="17"/>
      <c r="L25" s="17"/>
      <c r="O25" s="18"/>
      <c r="P25" s="16"/>
      <c r="S25" s="17"/>
      <c r="V25" s="18"/>
      <c r="X25" s="18"/>
    </row>
    <row r="26" spans="1:25" s="9" customFormat="1" ht="12.75">
      <c r="A26" s="9" t="s">
        <v>28</v>
      </c>
      <c r="H26" s="19"/>
      <c r="I26" s="13"/>
      <c r="J26" s="13"/>
      <c r="K26" s="13"/>
      <c r="L26" s="13"/>
      <c r="M26" s="30"/>
      <c r="N26" s="13"/>
      <c r="O26" s="10"/>
      <c r="P26" s="13"/>
      <c r="Y26" s="10"/>
    </row>
    <row r="27" spans="1:25" s="9" customFormat="1" ht="12.75">
      <c r="A27" s="9" t="s">
        <v>29</v>
      </c>
      <c r="H27" s="19"/>
      <c r="I27" s="13"/>
      <c r="J27" s="13"/>
      <c r="K27" s="13"/>
      <c r="L27" s="13"/>
      <c r="M27" s="30"/>
      <c r="N27" s="13"/>
      <c r="O27" s="10"/>
      <c r="P27" s="13"/>
      <c r="Y27" s="10"/>
    </row>
    <row r="28" spans="1:25" s="9" customFormat="1" ht="12.75">
      <c r="A28" s="9" t="s">
        <v>81</v>
      </c>
      <c r="H28" s="19"/>
      <c r="I28" s="13"/>
      <c r="J28" s="13"/>
      <c r="K28" s="13"/>
      <c r="L28" s="13"/>
      <c r="M28" s="30"/>
      <c r="N28" s="13"/>
      <c r="O28" s="10"/>
      <c r="P28" s="13"/>
      <c r="Y28" s="10"/>
    </row>
    <row r="30" ht="12.75">
      <c r="A30" s="33" t="s">
        <v>82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30">
      <selection activeCell="R62" sqref="R62"/>
    </sheetView>
  </sheetViews>
  <sheetFormatPr defaultColWidth="9.140625" defaultRowHeight="12.75"/>
  <cols>
    <col min="1" max="1" width="8.8515625" style="4" customWidth="1"/>
    <col min="2" max="2" width="9.28125" style="0" bestFit="1" customWidth="1"/>
    <col min="3" max="3" width="7.28125" style="5" hidden="1" customWidth="1"/>
    <col min="4" max="9" width="0" style="0" hidden="1" customWidth="1"/>
    <col min="10" max="10" width="9.28125" style="0" hidden="1" customWidth="1"/>
    <col min="11" max="11" width="9.140625" style="0" hidden="1" customWidth="1"/>
    <col min="12" max="12" width="0" style="0" hidden="1" customWidth="1"/>
  </cols>
  <sheetData>
    <row r="1" spans="1:9" ht="12.75">
      <c r="A1" s="4" t="s">
        <v>83</v>
      </c>
      <c r="B1" s="24"/>
      <c r="I1" t="s">
        <v>49</v>
      </c>
    </row>
    <row r="2" spans="9:12" ht="12.75">
      <c r="I2" t="s">
        <v>50</v>
      </c>
      <c r="J2" s="2">
        <v>12236</v>
      </c>
      <c r="K2" s="32">
        <f>DATE(YEAR(J2),MONTH(J2),1)</f>
        <v>12236</v>
      </c>
      <c r="L2">
        <f>MATCH(K2,A6:A58,1)</f>
        <v>19</v>
      </c>
    </row>
    <row r="3" spans="1:12" s="1" customFormat="1" ht="92.25">
      <c r="A3" s="6" t="s">
        <v>20</v>
      </c>
      <c r="B3" s="1" t="s">
        <v>22</v>
      </c>
      <c r="C3" s="7" t="s">
        <v>34</v>
      </c>
      <c r="D3" s="1" t="s">
        <v>35</v>
      </c>
      <c r="E3" s="1" t="s">
        <v>36</v>
      </c>
      <c r="F3" s="1" t="s">
        <v>43</v>
      </c>
      <c r="I3" s="1" t="s">
        <v>48</v>
      </c>
      <c r="K3" s="1" t="s">
        <v>51</v>
      </c>
      <c r="L3" s="1" t="s">
        <v>52</v>
      </c>
    </row>
    <row r="4" spans="1:6" s="1" customFormat="1" ht="12.75">
      <c r="A4" s="6"/>
      <c r="C4" s="7"/>
      <c r="D4" s="1">
        <v>0</v>
      </c>
      <c r="E4" s="1">
        <v>0</v>
      </c>
      <c r="F4" s="1">
        <v>0</v>
      </c>
    </row>
    <row r="5" spans="1:7" ht="12.75">
      <c r="A5" s="4" t="s">
        <v>21</v>
      </c>
      <c r="D5">
        <v>0</v>
      </c>
      <c r="E5">
        <v>0</v>
      </c>
      <c r="F5">
        <v>0</v>
      </c>
      <c r="G5">
        <v>1</v>
      </c>
    </row>
    <row r="6" spans="1:12" ht="12.75">
      <c r="A6" s="4">
        <v>11689</v>
      </c>
      <c r="B6" s="8">
        <v>1.25</v>
      </c>
      <c r="C6" s="5">
        <f>EOMONTH(A6,0)-A6+1</f>
        <v>31</v>
      </c>
      <c r="D6">
        <f aca="true" t="shared" si="0" ref="D6:D37">C6*B6/7</f>
        <v>5.535714285714286</v>
      </c>
      <c r="E6">
        <f>E5+D6</f>
        <v>5.535714285714286</v>
      </c>
      <c r="F6" s="5">
        <f>F5+C6</f>
        <v>31</v>
      </c>
      <c r="G6">
        <v>2</v>
      </c>
      <c r="I6">
        <v>1</v>
      </c>
      <c r="J6">
        <f>IF(I6&lt;DAY($J$2),0,I6-DAY($J$2)+1)</f>
        <v>1</v>
      </c>
      <c r="K6">
        <f ca="1">OFFSET($E$6,$L$2-2,0,1,1)+(OFFSET($B$6,$L$2-1,0,1,1)*J6/7)</f>
        <v>110.92857142857142</v>
      </c>
      <c r="L6">
        <f ca="1">OFFSET($E$6,$L$2-2,0,1,1)+(OFFSET($B$6,$L$2-1,0,1,1)*I6/7)</f>
        <v>110.92857142857142</v>
      </c>
    </row>
    <row r="7" spans="1:12" ht="12.75">
      <c r="A7" s="4">
        <v>11720</v>
      </c>
      <c r="B7" s="8">
        <v>1.25</v>
      </c>
      <c r="C7" s="5">
        <f>EOMONTH(A7,0)-A7+1</f>
        <v>29</v>
      </c>
      <c r="D7">
        <f t="shared" si="0"/>
        <v>5.178571428571429</v>
      </c>
      <c r="E7">
        <f>E6+D7</f>
        <v>10.714285714285715</v>
      </c>
      <c r="F7" s="5">
        <f aca="true" t="shared" si="1" ref="F7:F65">F6+C7</f>
        <v>60</v>
      </c>
      <c r="G7">
        <v>3</v>
      </c>
      <c r="I7">
        <v>2</v>
      </c>
      <c r="J7">
        <f aca="true" t="shared" si="2" ref="J7:J36">IF(I7&lt;DAY($J$2),0,I7-DAY($J$2)+1)</f>
        <v>2</v>
      </c>
      <c r="K7">
        <f aca="true" ca="1" t="shared" si="3" ref="K7:K36">OFFSET($E$6,$L$2-2,0,1,1)+(OFFSET($B$6,$L$2-1,0,1,1)*J7/7)</f>
        <v>111.17857142857142</v>
      </c>
      <c r="L7">
        <f aca="true" ca="1" t="shared" si="4" ref="L7:L36">OFFSET($E$6,$L$2-2,0,1,1)+(OFFSET($B$6,$L$2-1,0,1,1)*I7/7)</f>
        <v>111.17857142857142</v>
      </c>
    </row>
    <row r="8" spans="1:12" ht="12.75">
      <c r="A8" s="4">
        <v>11749</v>
      </c>
      <c r="B8" s="8">
        <v>1.25</v>
      </c>
      <c r="C8" s="5">
        <f>EOMONTH(A8,0)-A8+1</f>
        <v>31</v>
      </c>
      <c r="D8">
        <f t="shared" si="0"/>
        <v>5.535714285714286</v>
      </c>
      <c r="E8">
        <f aca="true" t="shared" si="5" ref="E8:E65">E7+D8</f>
        <v>16.25</v>
      </c>
      <c r="F8" s="5">
        <f t="shared" si="1"/>
        <v>91</v>
      </c>
      <c r="G8">
        <v>4</v>
      </c>
      <c r="I8">
        <v>3</v>
      </c>
      <c r="J8">
        <f t="shared" si="2"/>
        <v>3</v>
      </c>
      <c r="K8">
        <f ca="1" t="shared" si="3"/>
        <v>111.42857142857142</v>
      </c>
      <c r="L8">
        <f ca="1" t="shared" si="4"/>
        <v>111.42857142857142</v>
      </c>
    </row>
    <row r="9" spans="1:12" ht="12.75">
      <c r="A9" s="4">
        <v>11780</v>
      </c>
      <c r="B9" s="8">
        <v>1.25</v>
      </c>
      <c r="C9" s="5">
        <f>EOMONTH(A9,0)-A9+1</f>
        <v>30</v>
      </c>
      <c r="D9">
        <f t="shared" si="0"/>
        <v>5.357142857142857</v>
      </c>
      <c r="E9">
        <f t="shared" si="5"/>
        <v>21.607142857142858</v>
      </c>
      <c r="F9" s="5">
        <f t="shared" si="1"/>
        <v>121</v>
      </c>
      <c r="G9">
        <v>5</v>
      </c>
      <c r="I9">
        <v>4</v>
      </c>
      <c r="J9">
        <f t="shared" si="2"/>
        <v>4</v>
      </c>
      <c r="K9">
        <f ca="1" t="shared" si="3"/>
        <v>111.67857142857142</v>
      </c>
      <c r="L9">
        <f ca="1" t="shared" si="4"/>
        <v>111.67857142857142</v>
      </c>
    </row>
    <row r="10" spans="1:12" ht="12.75">
      <c r="A10" s="4">
        <v>11810</v>
      </c>
      <c r="B10" s="8">
        <v>1.25</v>
      </c>
      <c r="C10" s="5">
        <f>EOMONTH(A10,0)-A10+1</f>
        <v>31</v>
      </c>
      <c r="D10">
        <f t="shared" si="0"/>
        <v>5.535714285714286</v>
      </c>
      <c r="E10">
        <f t="shared" si="5"/>
        <v>27.142857142857142</v>
      </c>
      <c r="F10" s="5">
        <f t="shared" si="1"/>
        <v>152</v>
      </c>
      <c r="G10">
        <v>6</v>
      </c>
      <c r="I10">
        <v>5</v>
      </c>
      <c r="J10">
        <f t="shared" si="2"/>
        <v>5</v>
      </c>
      <c r="K10">
        <f ca="1" t="shared" si="3"/>
        <v>111.92857142857142</v>
      </c>
      <c r="L10">
        <f ca="1" t="shared" si="4"/>
        <v>111.92857142857142</v>
      </c>
    </row>
    <row r="11" spans="1:12" ht="12.75">
      <c r="A11" s="4">
        <v>11841</v>
      </c>
      <c r="B11" s="8">
        <v>1.25</v>
      </c>
      <c r="C11" s="5">
        <f>EOMONTH(A11,0)-A11+1</f>
        <v>30</v>
      </c>
      <c r="D11">
        <f t="shared" si="0"/>
        <v>5.357142857142857</v>
      </c>
      <c r="E11">
        <f t="shared" si="5"/>
        <v>32.5</v>
      </c>
      <c r="F11" s="5">
        <f t="shared" si="1"/>
        <v>182</v>
      </c>
      <c r="G11">
        <v>7</v>
      </c>
      <c r="I11">
        <v>6</v>
      </c>
      <c r="J11">
        <f t="shared" si="2"/>
        <v>6</v>
      </c>
      <c r="K11">
        <f ca="1" t="shared" si="3"/>
        <v>112.17857142857142</v>
      </c>
      <c r="L11">
        <f ca="1" t="shared" si="4"/>
        <v>112.17857142857142</v>
      </c>
    </row>
    <row r="12" spans="1:12" ht="12.75">
      <c r="A12" s="4">
        <v>11871</v>
      </c>
      <c r="B12" s="8">
        <v>1.25</v>
      </c>
      <c r="C12" s="5">
        <f>EOMONTH(A12,0)-A12+1</f>
        <v>31</v>
      </c>
      <c r="D12">
        <f t="shared" si="0"/>
        <v>5.535714285714286</v>
      </c>
      <c r="E12">
        <f t="shared" si="5"/>
        <v>38.035714285714285</v>
      </c>
      <c r="F12" s="5">
        <f t="shared" si="1"/>
        <v>213</v>
      </c>
      <c r="G12">
        <v>8</v>
      </c>
      <c r="I12">
        <v>7</v>
      </c>
      <c r="J12">
        <f t="shared" si="2"/>
        <v>7</v>
      </c>
      <c r="K12">
        <f ca="1" t="shared" si="3"/>
        <v>112.42857142857142</v>
      </c>
      <c r="L12">
        <f ca="1" t="shared" si="4"/>
        <v>112.42857142857142</v>
      </c>
    </row>
    <row r="13" spans="1:12" ht="12.75">
      <c r="A13" s="4">
        <v>11902</v>
      </c>
      <c r="B13" s="8">
        <v>1.25</v>
      </c>
      <c r="C13" s="5">
        <f>EOMONTH(A13,0)-A13+1</f>
        <v>31</v>
      </c>
      <c r="D13">
        <f t="shared" si="0"/>
        <v>5.535714285714286</v>
      </c>
      <c r="E13">
        <f t="shared" si="5"/>
        <v>43.57142857142857</v>
      </c>
      <c r="F13" s="5">
        <f t="shared" si="1"/>
        <v>244</v>
      </c>
      <c r="G13">
        <v>9</v>
      </c>
      <c r="I13">
        <v>8</v>
      </c>
      <c r="J13">
        <f t="shared" si="2"/>
        <v>8</v>
      </c>
      <c r="K13">
        <f ca="1" t="shared" si="3"/>
        <v>112.67857142857142</v>
      </c>
      <c r="L13">
        <f ca="1" t="shared" si="4"/>
        <v>112.67857142857142</v>
      </c>
    </row>
    <row r="14" spans="1:12" ht="12.75">
      <c r="A14" s="4">
        <v>11933</v>
      </c>
      <c r="B14" s="8">
        <v>1.25</v>
      </c>
      <c r="C14" s="5">
        <f>EOMONTH(A14,0)-A14+1</f>
        <v>30</v>
      </c>
      <c r="D14">
        <f t="shared" si="0"/>
        <v>5.357142857142857</v>
      </c>
      <c r="E14">
        <f t="shared" si="5"/>
        <v>48.92857142857142</v>
      </c>
      <c r="F14" s="5">
        <f t="shared" si="1"/>
        <v>274</v>
      </c>
      <c r="G14">
        <v>10</v>
      </c>
      <c r="I14">
        <v>9</v>
      </c>
      <c r="J14">
        <f t="shared" si="2"/>
        <v>9</v>
      </c>
      <c r="K14">
        <f ca="1" t="shared" si="3"/>
        <v>112.92857142857142</v>
      </c>
      <c r="L14">
        <f ca="1" t="shared" si="4"/>
        <v>112.92857142857142</v>
      </c>
    </row>
    <row r="15" spans="1:12" ht="12.75">
      <c r="A15" s="4">
        <v>11963</v>
      </c>
      <c r="B15" s="8">
        <v>1.25</v>
      </c>
      <c r="C15" s="5">
        <f>EOMONTH(A15,0)-A15+1</f>
        <v>31</v>
      </c>
      <c r="D15">
        <f t="shared" si="0"/>
        <v>5.535714285714286</v>
      </c>
      <c r="E15">
        <f t="shared" si="5"/>
        <v>54.46428571428571</v>
      </c>
      <c r="F15" s="5">
        <f t="shared" si="1"/>
        <v>305</v>
      </c>
      <c r="G15">
        <v>11</v>
      </c>
      <c r="I15">
        <v>10</v>
      </c>
      <c r="J15">
        <f t="shared" si="2"/>
        <v>10</v>
      </c>
      <c r="K15">
        <f ca="1" t="shared" si="3"/>
        <v>113.17857142857142</v>
      </c>
      <c r="L15">
        <f ca="1" t="shared" si="4"/>
        <v>113.17857142857142</v>
      </c>
    </row>
    <row r="16" spans="1:12" ht="12.75">
      <c r="A16" s="4">
        <v>11994</v>
      </c>
      <c r="B16" s="8">
        <v>1.5</v>
      </c>
      <c r="C16" s="5">
        <f>EOMONTH(A16,0)-A16+1</f>
        <v>30</v>
      </c>
      <c r="D16">
        <f t="shared" si="0"/>
        <v>6.428571428571429</v>
      </c>
      <c r="E16">
        <f t="shared" si="5"/>
        <v>60.89285714285714</v>
      </c>
      <c r="F16" s="5">
        <f t="shared" si="1"/>
        <v>335</v>
      </c>
      <c r="G16">
        <v>12</v>
      </c>
      <c r="I16">
        <v>11</v>
      </c>
      <c r="J16">
        <f t="shared" si="2"/>
        <v>11</v>
      </c>
      <c r="K16">
        <f ca="1" t="shared" si="3"/>
        <v>113.42857142857142</v>
      </c>
      <c r="L16">
        <f ca="1" t="shared" si="4"/>
        <v>113.42857142857142</v>
      </c>
    </row>
    <row r="17" spans="1:12" ht="12.75">
      <c r="A17" s="4">
        <v>12024</v>
      </c>
      <c r="B17" s="8">
        <v>1.5</v>
      </c>
      <c r="C17" s="5">
        <f>EOMONTH(A17,0)-A17+1</f>
        <v>31</v>
      </c>
      <c r="D17">
        <f t="shared" si="0"/>
        <v>6.642857142857143</v>
      </c>
      <c r="E17">
        <f t="shared" si="5"/>
        <v>67.53571428571428</v>
      </c>
      <c r="F17" s="5">
        <f t="shared" si="1"/>
        <v>366</v>
      </c>
      <c r="G17">
        <v>13</v>
      </c>
      <c r="I17">
        <v>12</v>
      </c>
      <c r="J17">
        <f t="shared" si="2"/>
        <v>12</v>
      </c>
      <c r="K17">
        <f ca="1" t="shared" si="3"/>
        <v>113.67857142857142</v>
      </c>
      <c r="L17">
        <f ca="1" t="shared" si="4"/>
        <v>113.67857142857142</v>
      </c>
    </row>
    <row r="18" spans="1:12" ht="12.75">
      <c r="A18" s="4">
        <v>12055</v>
      </c>
      <c r="B18" s="8">
        <v>1.5</v>
      </c>
      <c r="C18" s="5">
        <f>EOMONTH(A18,0)-A18+1</f>
        <v>31</v>
      </c>
      <c r="D18">
        <f t="shared" si="0"/>
        <v>6.642857142857143</v>
      </c>
      <c r="E18">
        <f t="shared" si="5"/>
        <v>74.17857142857142</v>
      </c>
      <c r="F18" s="5">
        <f t="shared" si="1"/>
        <v>397</v>
      </c>
      <c r="G18">
        <v>14</v>
      </c>
      <c r="I18">
        <v>13</v>
      </c>
      <c r="J18">
        <f t="shared" si="2"/>
        <v>13</v>
      </c>
      <c r="K18">
        <f ca="1" t="shared" si="3"/>
        <v>113.92857142857142</v>
      </c>
      <c r="L18">
        <f ca="1" t="shared" si="4"/>
        <v>113.92857142857142</v>
      </c>
    </row>
    <row r="19" spans="1:12" ht="12.75">
      <c r="A19" s="4">
        <v>12086</v>
      </c>
      <c r="B19" s="8">
        <v>1.5</v>
      </c>
      <c r="C19" s="5">
        <f>EOMONTH(A19,0)-A19+1</f>
        <v>28</v>
      </c>
      <c r="D19">
        <f t="shared" si="0"/>
        <v>6</v>
      </c>
      <c r="E19">
        <f t="shared" si="5"/>
        <v>80.17857142857142</v>
      </c>
      <c r="F19" s="5">
        <f t="shared" si="1"/>
        <v>425</v>
      </c>
      <c r="G19">
        <v>15</v>
      </c>
      <c r="I19">
        <v>14</v>
      </c>
      <c r="J19">
        <f t="shared" si="2"/>
        <v>14</v>
      </c>
      <c r="K19">
        <f ca="1" t="shared" si="3"/>
        <v>114.17857142857142</v>
      </c>
      <c r="L19">
        <f ca="1" t="shared" si="4"/>
        <v>114.17857142857142</v>
      </c>
    </row>
    <row r="20" spans="1:12" ht="12.75">
      <c r="A20" s="4">
        <v>12114</v>
      </c>
      <c r="B20" s="8">
        <v>1.75</v>
      </c>
      <c r="C20" s="5">
        <f>EOMONTH(A20,0)-A20+1</f>
        <v>31</v>
      </c>
      <c r="D20">
        <f t="shared" si="0"/>
        <v>7.75</v>
      </c>
      <c r="E20">
        <f t="shared" si="5"/>
        <v>87.92857142857142</v>
      </c>
      <c r="F20" s="5">
        <f t="shared" si="1"/>
        <v>456</v>
      </c>
      <c r="G20">
        <v>16</v>
      </c>
      <c r="I20">
        <v>15</v>
      </c>
      <c r="J20">
        <f t="shared" si="2"/>
        <v>15</v>
      </c>
      <c r="K20">
        <f ca="1" t="shared" si="3"/>
        <v>114.42857142857142</v>
      </c>
      <c r="L20">
        <f ca="1" t="shared" si="4"/>
        <v>114.42857142857142</v>
      </c>
    </row>
    <row r="21" spans="1:12" ht="12.75">
      <c r="A21" s="4">
        <v>12145</v>
      </c>
      <c r="B21" s="8">
        <v>1.75</v>
      </c>
      <c r="C21" s="5">
        <f>EOMONTH(A21,0)-A21+1</f>
        <v>30</v>
      </c>
      <c r="D21">
        <f t="shared" si="0"/>
        <v>7.5</v>
      </c>
      <c r="E21">
        <f t="shared" si="5"/>
        <v>95.42857142857142</v>
      </c>
      <c r="F21" s="5">
        <f t="shared" si="1"/>
        <v>486</v>
      </c>
      <c r="G21">
        <v>17</v>
      </c>
      <c r="I21">
        <v>16</v>
      </c>
      <c r="J21">
        <f t="shared" si="2"/>
        <v>16</v>
      </c>
      <c r="K21">
        <f ca="1" t="shared" si="3"/>
        <v>114.67857142857142</v>
      </c>
      <c r="L21">
        <f ca="1" t="shared" si="4"/>
        <v>114.67857142857142</v>
      </c>
    </row>
    <row r="22" spans="1:12" ht="12.75">
      <c r="A22" s="4">
        <v>12175</v>
      </c>
      <c r="B22" s="8">
        <v>1.75</v>
      </c>
      <c r="C22" s="5">
        <f>EOMONTH(A22,0)-A22+1</f>
        <v>31</v>
      </c>
      <c r="D22">
        <f t="shared" si="0"/>
        <v>7.75</v>
      </c>
      <c r="E22">
        <f t="shared" si="5"/>
        <v>103.17857142857142</v>
      </c>
      <c r="F22" s="5">
        <f t="shared" si="1"/>
        <v>517</v>
      </c>
      <c r="G22">
        <v>18</v>
      </c>
      <c r="I22">
        <v>17</v>
      </c>
      <c r="J22">
        <f t="shared" si="2"/>
        <v>17</v>
      </c>
      <c r="K22">
        <f ca="1" t="shared" si="3"/>
        <v>114.92857142857142</v>
      </c>
      <c r="L22">
        <f ca="1" t="shared" si="4"/>
        <v>114.92857142857142</v>
      </c>
    </row>
    <row r="23" spans="1:12" ht="12.75">
      <c r="A23" s="4">
        <v>12206</v>
      </c>
      <c r="B23" s="8">
        <v>1.75</v>
      </c>
      <c r="C23" s="5">
        <f>EOMONTH(A23,0)-A23+1</f>
        <v>30</v>
      </c>
      <c r="D23">
        <f t="shared" si="0"/>
        <v>7.5</v>
      </c>
      <c r="E23">
        <f t="shared" si="5"/>
        <v>110.67857142857142</v>
      </c>
      <c r="F23" s="5">
        <f t="shared" si="1"/>
        <v>547</v>
      </c>
      <c r="G23">
        <v>19</v>
      </c>
      <c r="I23">
        <v>18</v>
      </c>
      <c r="J23">
        <f t="shared" si="2"/>
        <v>18</v>
      </c>
      <c r="K23">
        <f ca="1" t="shared" si="3"/>
        <v>115.17857142857142</v>
      </c>
      <c r="L23">
        <f ca="1" t="shared" si="4"/>
        <v>115.17857142857142</v>
      </c>
    </row>
    <row r="24" spans="1:12" ht="12.75">
      <c r="A24" s="4">
        <v>12236</v>
      </c>
      <c r="B24" s="8">
        <v>1.75</v>
      </c>
      <c r="C24" s="5">
        <f>EOMONTH(A24,0)-A24+1</f>
        <v>31</v>
      </c>
      <c r="D24">
        <f t="shared" si="0"/>
        <v>7.75</v>
      </c>
      <c r="E24">
        <f t="shared" si="5"/>
        <v>118.42857142857142</v>
      </c>
      <c r="F24" s="5">
        <f t="shared" si="1"/>
        <v>578</v>
      </c>
      <c r="G24">
        <v>20</v>
      </c>
      <c r="I24">
        <v>19</v>
      </c>
      <c r="J24">
        <f t="shared" si="2"/>
        <v>19</v>
      </c>
      <c r="K24">
        <f ca="1" t="shared" si="3"/>
        <v>115.42857142857142</v>
      </c>
      <c r="L24">
        <f ca="1" t="shared" si="4"/>
        <v>115.42857142857142</v>
      </c>
    </row>
    <row r="25" spans="1:12" ht="12.75">
      <c r="A25" s="4">
        <v>12267</v>
      </c>
      <c r="B25" s="8">
        <v>1.75</v>
      </c>
      <c r="C25" s="5">
        <f>EOMONTH(A25,0)-A25+1</f>
        <v>31</v>
      </c>
      <c r="D25">
        <f t="shared" si="0"/>
        <v>7.75</v>
      </c>
      <c r="E25">
        <f t="shared" si="5"/>
        <v>126.17857142857142</v>
      </c>
      <c r="F25" s="5">
        <f t="shared" si="1"/>
        <v>609</v>
      </c>
      <c r="G25">
        <v>21</v>
      </c>
      <c r="I25">
        <v>20</v>
      </c>
      <c r="J25">
        <f t="shared" si="2"/>
        <v>20</v>
      </c>
      <c r="K25">
        <f ca="1" t="shared" si="3"/>
        <v>115.67857142857142</v>
      </c>
      <c r="L25">
        <f ca="1" t="shared" si="4"/>
        <v>115.67857142857142</v>
      </c>
    </row>
    <row r="26" spans="1:12" ht="12.75">
      <c r="A26" s="4">
        <v>12298</v>
      </c>
      <c r="B26" s="8">
        <v>0</v>
      </c>
      <c r="C26" s="5">
        <f>EOMONTH(A26,0)-A26+1</f>
        <v>30</v>
      </c>
      <c r="D26">
        <f t="shared" si="0"/>
        <v>0</v>
      </c>
      <c r="E26">
        <f t="shared" si="5"/>
        <v>126.17857142857142</v>
      </c>
      <c r="F26" s="5">
        <f t="shared" si="1"/>
        <v>639</v>
      </c>
      <c r="G26">
        <v>22</v>
      </c>
      <c r="I26">
        <v>21</v>
      </c>
      <c r="J26">
        <f t="shared" si="2"/>
        <v>21</v>
      </c>
      <c r="K26">
        <f ca="1" t="shared" si="3"/>
        <v>115.92857142857142</v>
      </c>
      <c r="L26">
        <f ca="1" t="shared" si="4"/>
        <v>115.92857142857142</v>
      </c>
    </row>
    <row r="27" spans="1:12" ht="12.75">
      <c r="A27" s="4">
        <v>12328</v>
      </c>
      <c r="B27" s="8">
        <v>0</v>
      </c>
      <c r="C27" s="5">
        <f>EOMONTH(A27,0)-A27+1</f>
        <v>31</v>
      </c>
      <c r="D27">
        <f t="shared" si="0"/>
        <v>0</v>
      </c>
      <c r="E27">
        <f t="shared" si="5"/>
        <v>126.17857142857142</v>
      </c>
      <c r="F27" s="5">
        <f t="shared" si="1"/>
        <v>670</v>
      </c>
      <c r="G27">
        <v>23</v>
      </c>
      <c r="I27">
        <v>22</v>
      </c>
      <c r="J27">
        <f t="shared" si="2"/>
        <v>22</v>
      </c>
      <c r="K27">
        <f ca="1" t="shared" si="3"/>
        <v>116.17857142857142</v>
      </c>
      <c r="L27">
        <f ca="1" t="shared" si="4"/>
        <v>116.17857142857142</v>
      </c>
    </row>
    <row r="28" spans="1:12" ht="12.75">
      <c r="A28" s="4">
        <v>12359</v>
      </c>
      <c r="B28" s="8">
        <v>0</v>
      </c>
      <c r="C28" s="5">
        <f>EOMONTH(A28,0)-A28+1</f>
        <v>30</v>
      </c>
      <c r="D28">
        <f t="shared" si="0"/>
        <v>0</v>
      </c>
      <c r="E28">
        <f t="shared" si="5"/>
        <v>126.17857142857142</v>
      </c>
      <c r="F28" s="5">
        <f t="shared" si="1"/>
        <v>700</v>
      </c>
      <c r="G28">
        <v>24</v>
      </c>
      <c r="I28">
        <v>23</v>
      </c>
      <c r="J28">
        <f t="shared" si="2"/>
        <v>23</v>
      </c>
      <c r="K28">
        <f ca="1" t="shared" si="3"/>
        <v>116.42857142857142</v>
      </c>
      <c r="L28">
        <f ca="1" t="shared" si="4"/>
        <v>116.42857142857142</v>
      </c>
    </row>
    <row r="29" spans="1:12" ht="12.75">
      <c r="A29" s="4">
        <v>12389</v>
      </c>
      <c r="B29" s="8">
        <v>0.75</v>
      </c>
      <c r="C29" s="5">
        <f>EOMONTH(A29,0)-A29+1</f>
        <v>31</v>
      </c>
      <c r="D29">
        <f t="shared" si="0"/>
        <v>3.3214285714285716</v>
      </c>
      <c r="E29">
        <f t="shared" si="5"/>
        <v>129.5</v>
      </c>
      <c r="F29" s="5">
        <f t="shared" si="1"/>
        <v>731</v>
      </c>
      <c r="G29">
        <v>25</v>
      </c>
      <c r="I29">
        <v>24</v>
      </c>
      <c r="J29">
        <f t="shared" si="2"/>
        <v>24</v>
      </c>
      <c r="K29">
        <f ca="1" t="shared" si="3"/>
        <v>116.67857142857142</v>
      </c>
      <c r="L29">
        <f ca="1" t="shared" si="4"/>
        <v>116.67857142857142</v>
      </c>
    </row>
    <row r="30" spans="1:12" ht="12.75">
      <c r="A30" s="4">
        <v>12420</v>
      </c>
      <c r="B30" s="8">
        <v>0.75</v>
      </c>
      <c r="C30" s="5">
        <f>EOMONTH(A30,0)-A30+1</f>
        <v>31</v>
      </c>
      <c r="D30">
        <f t="shared" si="0"/>
        <v>3.3214285714285716</v>
      </c>
      <c r="E30">
        <f t="shared" si="5"/>
        <v>132.82142857142858</v>
      </c>
      <c r="F30" s="5">
        <f t="shared" si="1"/>
        <v>762</v>
      </c>
      <c r="G30">
        <v>26</v>
      </c>
      <c r="I30">
        <v>25</v>
      </c>
      <c r="J30">
        <f t="shared" si="2"/>
        <v>25</v>
      </c>
      <c r="K30">
        <f ca="1" t="shared" si="3"/>
        <v>116.92857142857142</v>
      </c>
      <c r="L30">
        <f ca="1" t="shared" si="4"/>
        <v>116.92857142857142</v>
      </c>
    </row>
    <row r="31" spans="1:12" ht="12.75">
      <c r="A31" s="4">
        <v>12451</v>
      </c>
      <c r="B31" s="8">
        <v>0.75</v>
      </c>
      <c r="C31" s="5">
        <f>EOMONTH(A31,0)-A31+1</f>
        <v>28</v>
      </c>
      <c r="D31">
        <f t="shared" si="0"/>
        <v>3</v>
      </c>
      <c r="E31">
        <f t="shared" si="5"/>
        <v>135.82142857142858</v>
      </c>
      <c r="F31" s="5">
        <f t="shared" si="1"/>
        <v>790</v>
      </c>
      <c r="G31">
        <v>27</v>
      </c>
      <c r="I31">
        <v>26</v>
      </c>
      <c r="J31">
        <f t="shared" si="2"/>
        <v>26</v>
      </c>
      <c r="K31">
        <f ca="1" t="shared" si="3"/>
        <v>117.17857142857142</v>
      </c>
      <c r="L31">
        <f ca="1" t="shared" si="4"/>
        <v>117.17857142857142</v>
      </c>
    </row>
    <row r="32" spans="1:12" ht="12.75">
      <c r="A32" s="4">
        <v>12479</v>
      </c>
      <c r="B32" s="8">
        <v>1.75</v>
      </c>
      <c r="C32" s="5">
        <f>EOMONTH(A32,0)-A32+1</f>
        <v>31</v>
      </c>
      <c r="D32">
        <f t="shared" si="0"/>
        <v>7.75</v>
      </c>
      <c r="E32">
        <f t="shared" si="5"/>
        <v>143.57142857142858</v>
      </c>
      <c r="F32" s="5">
        <f t="shared" si="1"/>
        <v>821</v>
      </c>
      <c r="G32">
        <v>28</v>
      </c>
      <c r="I32">
        <v>27</v>
      </c>
      <c r="J32">
        <f t="shared" si="2"/>
        <v>27</v>
      </c>
      <c r="K32">
        <f ca="1" t="shared" si="3"/>
        <v>117.42857142857142</v>
      </c>
      <c r="L32">
        <f ca="1" t="shared" si="4"/>
        <v>117.42857142857142</v>
      </c>
    </row>
    <row r="33" spans="1:12" ht="12.75">
      <c r="A33" s="4">
        <v>12510</v>
      </c>
      <c r="B33" s="8">
        <v>1.75</v>
      </c>
      <c r="C33" s="5">
        <f>EOMONTH(A33,0)-A33+1</f>
        <v>30</v>
      </c>
      <c r="D33">
        <f t="shared" si="0"/>
        <v>7.5</v>
      </c>
      <c r="E33">
        <f t="shared" si="5"/>
        <v>151.07142857142858</v>
      </c>
      <c r="F33" s="5">
        <f t="shared" si="1"/>
        <v>851</v>
      </c>
      <c r="G33">
        <v>29</v>
      </c>
      <c r="I33">
        <v>28</v>
      </c>
      <c r="J33">
        <f t="shared" si="2"/>
        <v>28</v>
      </c>
      <c r="K33">
        <f ca="1" t="shared" si="3"/>
        <v>117.67857142857142</v>
      </c>
      <c r="L33">
        <f ca="1" t="shared" si="4"/>
        <v>117.67857142857142</v>
      </c>
    </row>
    <row r="34" spans="1:12" ht="12.75">
      <c r="A34" s="4">
        <v>12540</v>
      </c>
      <c r="B34" s="8">
        <v>1.75</v>
      </c>
      <c r="C34" s="5">
        <f>EOMONTH(A34,0)-A34+1</f>
        <v>31</v>
      </c>
      <c r="D34">
        <f t="shared" si="0"/>
        <v>7.75</v>
      </c>
      <c r="E34">
        <f t="shared" si="5"/>
        <v>158.82142857142858</v>
      </c>
      <c r="F34" s="5">
        <f t="shared" si="1"/>
        <v>882</v>
      </c>
      <c r="G34">
        <v>30</v>
      </c>
      <c r="I34">
        <v>29</v>
      </c>
      <c r="J34">
        <f t="shared" si="2"/>
        <v>29</v>
      </c>
      <c r="K34">
        <f ca="1" t="shared" si="3"/>
        <v>117.92857142857142</v>
      </c>
      <c r="L34">
        <f ca="1" t="shared" si="4"/>
        <v>117.92857142857142</v>
      </c>
    </row>
    <row r="35" spans="1:12" ht="12.75">
      <c r="A35" s="4">
        <v>12571</v>
      </c>
      <c r="B35" s="8">
        <v>1.75</v>
      </c>
      <c r="C35" s="5">
        <f>EOMONTH(A35,0)-A35+1</f>
        <v>30</v>
      </c>
      <c r="D35">
        <f t="shared" si="0"/>
        <v>7.5</v>
      </c>
      <c r="E35">
        <f t="shared" si="5"/>
        <v>166.32142857142858</v>
      </c>
      <c r="F35" s="5">
        <f t="shared" si="1"/>
        <v>912</v>
      </c>
      <c r="G35">
        <v>31</v>
      </c>
      <c r="I35">
        <v>30</v>
      </c>
      <c r="J35">
        <f t="shared" si="2"/>
        <v>30</v>
      </c>
      <c r="K35">
        <f ca="1" t="shared" si="3"/>
        <v>118.17857142857142</v>
      </c>
      <c r="L35">
        <f ca="1" t="shared" si="4"/>
        <v>118.17857142857142</v>
      </c>
    </row>
    <row r="36" spans="1:12" ht="12.75">
      <c r="A36" s="4">
        <v>12601</v>
      </c>
      <c r="B36" s="8">
        <v>1.75</v>
      </c>
      <c r="C36" s="5">
        <f>EOMONTH(A36,0)-A36+1</f>
        <v>31</v>
      </c>
      <c r="D36">
        <f t="shared" si="0"/>
        <v>7.75</v>
      </c>
      <c r="E36">
        <f t="shared" si="5"/>
        <v>174.07142857142858</v>
      </c>
      <c r="F36" s="5">
        <f t="shared" si="1"/>
        <v>943</v>
      </c>
      <c r="G36">
        <v>32</v>
      </c>
      <c r="I36">
        <v>31</v>
      </c>
      <c r="J36">
        <f t="shared" si="2"/>
        <v>31</v>
      </c>
      <c r="K36">
        <f ca="1" t="shared" si="3"/>
        <v>118.42857142857142</v>
      </c>
      <c r="L36">
        <f ca="1" t="shared" si="4"/>
        <v>118.42857142857142</v>
      </c>
    </row>
    <row r="37" spans="1:7" ht="12.75">
      <c r="A37" s="4">
        <v>12632</v>
      </c>
      <c r="B37" s="8">
        <v>1.75</v>
      </c>
      <c r="C37" s="5">
        <f>EOMONTH(A37,0)-A37+1</f>
        <v>31</v>
      </c>
      <c r="D37">
        <f t="shared" si="0"/>
        <v>7.75</v>
      </c>
      <c r="E37">
        <f t="shared" si="5"/>
        <v>181.82142857142858</v>
      </c>
      <c r="F37" s="5">
        <f t="shared" si="1"/>
        <v>974</v>
      </c>
      <c r="G37">
        <v>33</v>
      </c>
    </row>
    <row r="38" spans="1:7" ht="12.75">
      <c r="A38" s="4">
        <v>12663</v>
      </c>
      <c r="B38" s="8">
        <v>1.75</v>
      </c>
      <c r="C38" s="5">
        <f>EOMONTH(A38,0)-A38+1</f>
        <v>30</v>
      </c>
      <c r="D38">
        <f aca="true" t="shared" si="6" ref="D38:D65">C38*B38/7</f>
        <v>7.5</v>
      </c>
      <c r="E38">
        <f t="shared" si="5"/>
        <v>189.32142857142858</v>
      </c>
      <c r="F38" s="5">
        <f t="shared" si="1"/>
        <v>1004</v>
      </c>
      <c r="G38">
        <v>34</v>
      </c>
    </row>
    <row r="39" spans="1:7" ht="12.75">
      <c r="A39" s="4">
        <v>12693</v>
      </c>
      <c r="B39" s="8">
        <v>1.75</v>
      </c>
      <c r="C39" s="5">
        <f>EOMONTH(A39,0)-A39+1</f>
        <v>31</v>
      </c>
      <c r="D39">
        <f t="shared" si="6"/>
        <v>7.75</v>
      </c>
      <c r="E39">
        <f t="shared" si="5"/>
        <v>197.07142857142858</v>
      </c>
      <c r="F39" s="5">
        <f t="shared" si="1"/>
        <v>1035</v>
      </c>
      <c r="G39">
        <v>35</v>
      </c>
    </row>
    <row r="40" spans="1:7" ht="12.75">
      <c r="A40" s="4">
        <v>12724</v>
      </c>
      <c r="B40" s="8">
        <v>1.5</v>
      </c>
      <c r="C40" s="5">
        <f>EOMONTH(A40,0)-A40+1</f>
        <v>30</v>
      </c>
      <c r="D40">
        <f t="shared" si="6"/>
        <v>6.428571428571429</v>
      </c>
      <c r="E40">
        <f t="shared" si="5"/>
        <v>203.5</v>
      </c>
      <c r="F40" s="5">
        <f t="shared" si="1"/>
        <v>1065</v>
      </c>
      <c r="G40">
        <v>36</v>
      </c>
    </row>
    <row r="41" spans="1:7" ht="12.75">
      <c r="A41" s="4">
        <v>12754</v>
      </c>
      <c r="B41" s="8">
        <v>1.5</v>
      </c>
      <c r="C41" s="5">
        <f>EOMONTH(A41,0)-A41+1</f>
        <v>31</v>
      </c>
      <c r="D41">
        <f t="shared" si="6"/>
        <v>6.642857142857143</v>
      </c>
      <c r="E41">
        <f t="shared" si="5"/>
        <v>210.14285714285714</v>
      </c>
      <c r="F41" s="5">
        <f t="shared" si="1"/>
        <v>1096</v>
      </c>
      <c r="G41">
        <v>37</v>
      </c>
    </row>
    <row r="42" spans="1:7" ht="12.75">
      <c r="A42" s="4">
        <v>12785</v>
      </c>
      <c r="B42" s="8">
        <v>1.5</v>
      </c>
      <c r="C42" s="5">
        <f>EOMONTH(A42,0)-A42+1</f>
        <v>31</v>
      </c>
      <c r="D42">
        <f t="shared" si="6"/>
        <v>6.642857142857143</v>
      </c>
      <c r="E42">
        <f t="shared" si="5"/>
        <v>216.78571428571428</v>
      </c>
      <c r="F42" s="5">
        <f t="shared" si="1"/>
        <v>1127</v>
      </c>
      <c r="G42">
        <v>38</v>
      </c>
    </row>
    <row r="43" spans="1:7" ht="12.75">
      <c r="A43" s="4">
        <v>12816</v>
      </c>
      <c r="B43" s="8">
        <v>1.5</v>
      </c>
      <c r="C43" s="5">
        <f>EOMONTH(A43,0)-A43+1</f>
        <v>28</v>
      </c>
      <c r="D43">
        <f t="shared" si="6"/>
        <v>6</v>
      </c>
      <c r="E43">
        <f t="shared" si="5"/>
        <v>222.78571428571428</v>
      </c>
      <c r="F43" s="5">
        <f t="shared" si="1"/>
        <v>1155</v>
      </c>
      <c r="G43">
        <v>39</v>
      </c>
    </row>
    <row r="44" spans="1:7" ht="12.75">
      <c r="A44" s="4">
        <v>12844</v>
      </c>
      <c r="B44" s="8">
        <v>1.75</v>
      </c>
      <c r="C44" s="5">
        <f>EOMONTH(A44,0)-A44+1</f>
        <v>31</v>
      </c>
      <c r="D44">
        <f t="shared" si="6"/>
        <v>7.75</v>
      </c>
      <c r="E44">
        <f t="shared" si="5"/>
        <v>230.53571428571428</v>
      </c>
      <c r="F44" s="5">
        <f t="shared" si="1"/>
        <v>1186</v>
      </c>
      <c r="G44">
        <v>40</v>
      </c>
    </row>
    <row r="45" spans="1:7" ht="12.75">
      <c r="A45" s="4">
        <v>12875</v>
      </c>
      <c r="B45" s="8">
        <v>1.75</v>
      </c>
      <c r="C45" s="5">
        <f>EOMONTH(A45,0)-A45+1</f>
        <v>30</v>
      </c>
      <c r="D45">
        <f t="shared" si="6"/>
        <v>7.5</v>
      </c>
      <c r="E45">
        <f t="shared" si="5"/>
        <v>238.03571428571428</v>
      </c>
      <c r="F45" s="5">
        <f t="shared" si="1"/>
        <v>1216</v>
      </c>
      <c r="G45">
        <v>41</v>
      </c>
    </row>
    <row r="46" spans="1:7" ht="12.75">
      <c r="A46" s="4">
        <v>12905</v>
      </c>
      <c r="B46" s="8">
        <v>1.75</v>
      </c>
      <c r="C46" s="5">
        <f>EOMONTH(A46,0)-A46+1</f>
        <v>31</v>
      </c>
      <c r="D46">
        <f t="shared" si="6"/>
        <v>7.75</v>
      </c>
      <c r="E46">
        <f t="shared" si="5"/>
        <v>245.78571428571428</v>
      </c>
      <c r="F46" s="5">
        <f t="shared" si="1"/>
        <v>1247</v>
      </c>
      <c r="G46">
        <v>42</v>
      </c>
    </row>
    <row r="47" spans="1:7" ht="12.75">
      <c r="A47" s="4">
        <v>12936</v>
      </c>
      <c r="B47" s="8">
        <v>1.75</v>
      </c>
      <c r="C47" s="5">
        <f>EOMONTH(A47,0)-A47+1</f>
        <v>30</v>
      </c>
      <c r="D47">
        <f t="shared" si="6"/>
        <v>7.5</v>
      </c>
      <c r="E47">
        <f t="shared" si="5"/>
        <v>253.28571428571428</v>
      </c>
      <c r="F47" s="5">
        <f t="shared" si="1"/>
        <v>1277</v>
      </c>
      <c r="G47">
        <v>43</v>
      </c>
    </row>
    <row r="48" spans="1:7" ht="12.75">
      <c r="A48" s="4">
        <v>12966</v>
      </c>
      <c r="B48" s="8">
        <v>1.75</v>
      </c>
      <c r="C48" s="5">
        <f>EOMONTH(A48,0)-A48+1</f>
        <v>31</v>
      </c>
      <c r="D48">
        <f t="shared" si="6"/>
        <v>7.75</v>
      </c>
      <c r="E48">
        <f t="shared" si="5"/>
        <v>261.0357142857143</v>
      </c>
      <c r="F48" s="5">
        <f t="shared" si="1"/>
        <v>1308</v>
      </c>
      <c r="G48">
        <v>44</v>
      </c>
    </row>
    <row r="49" spans="1:7" ht="12.75">
      <c r="A49" s="4">
        <v>12997</v>
      </c>
      <c r="B49" s="8">
        <v>1.75</v>
      </c>
      <c r="C49" s="5">
        <f>EOMONTH(A49,0)-A49+1</f>
        <v>31</v>
      </c>
      <c r="D49">
        <f t="shared" si="6"/>
        <v>7.75</v>
      </c>
      <c r="E49">
        <f t="shared" si="5"/>
        <v>268.7857142857143</v>
      </c>
      <c r="F49" s="5">
        <f t="shared" si="1"/>
        <v>1339</v>
      </c>
      <c r="G49">
        <v>45</v>
      </c>
    </row>
    <row r="50" spans="1:7" ht="12.75">
      <c r="A50" s="4">
        <v>13028</v>
      </c>
      <c r="B50" s="8">
        <v>1.75</v>
      </c>
      <c r="C50" s="5">
        <f>EOMONTH(A50,0)-A50+1</f>
        <v>30</v>
      </c>
      <c r="D50">
        <f t="shared" si="6"/>
        <v>7.5</v>
      </c>
      <c r="E50">
        <f t="shared" si="5"/>
        <v>276.2857142857143</v>
      </c>
      <c r="F50" s="5">
        <f t="shared" si="1"/>
        <v>1369</v>
      </c>
      <c r="G50">
        <v>46</v>
      </c>
    </row>
    <row r="51" spans="1:7" ht="12.75">
      <c r="A51" s="4">
        <v>13058</v>
      </c>
      <c r="B51" s="8">
        <v>1.75</v>
      </c>
      <c r="C51" s="5">
        <f>EOMONTH(A51,0)-A51+1</f>
        <v>31</v>
      </c>
      <c r="D51">
        <f t="shared" si="6"/>
        <v>7.75</v>
      </c>
      <c r="E51">
        <f t="shared" si="5"/>
        <v>284.0357142857143</v>
      </c>
      <c r="F51" s="5">
        <f t="shared" si="1"/>
        <v>1400</v>
      </c>
      <c r="G51">
        <v>47</v>
      </c>
    </row>
    <row r="52" spans="1:7" ht="12.75">
      <c r="A52" s="4">
        <v>13089</v>
      </c>
      <c r="B52" s="8">
        <v>1.5</v>
      </c>
      <c r="C52" s="5">
        <f>EOMONTH(A52,0)-A52+1</f>
        <v>30</v>
      </c>
      <c r="D52">
        <f t="shared" si="6"/>
        <v>6.428571428571429</v>
      </c>
      <c r="E52">
        <f t="shared" si="5"/>
        <v>290.4642857142857</v>
      </c>
      <c r="F52" s="5">
        <f t="shared" si="1"/>
        <v>1430</v>
      </c>
      <c r="G52">
        <v>48</v>
      </c>
    </row>
    <row r="53" spans="1:7" ht="12.75">
      <c r="A53" s="4">
        <v>13119</v>
      </c>
      <c r="B53" s="8">
        <v>1.5</v>
      </c>
      <c r="C53" s="5">
        <f>EOMONTH(A53,0)-A53+1</f>
        <v>31</v>
      </c>
      <c r="D53">
        <f t="shared" si="6"/>
        <v>6.642857142857143</v>
      </c>
      <c r="E53">
        <f t="shared" si="5"/>
        <v>297.1071428571429</v>
      </c>
      <c r="F53" s="5">
        <f t="shared" si="1"/>
        <v>1461</v>
      </c>
      <c r="G53">
        <v>49</v>
      </c>
    </row>
    <row r="54" spans="1:7" ht="12.75">
      <c r="A54" s="4">
        <v>13150</v>
      </c>
      <c r="B54" s="8">
        <v>1.5</v>
      </c>
      <c r="C54" s="5">
        <f>EOMONTH(A54,0)-A54+1</f>
        <v>31</v>
      </c>
      <c r="D54">
        <f t="shared" si="6"/>
        <v>6.642857142857143</v>
      </c>
      <c r="E54">
        <f t="shared" si="5"/>
        <v>303.75000000000006</v>
      </c>
      <c r="F54" s="5">
        <f t="shared" si="1"/>
        <v>1492</v>
      </c>
      <c r="G54">
        <v>50</v>
      </c>
    </row>
    <row r="55" spans="1:7" ht="12.75">
      <c r="A55" s="4">
        <v>13181</v>
      </c>
      <c r="B55" s="8">
        <v>1.5</v>
      </c>
      <c r="C55" s="5">
        <f>EOMONTH(A55,0)-A55+1</f>
        <v>29</v>
      </c>
      <c r="D55">
        <f t="shared" si="6"/>
        <v>6.214285714285714</v>
      </c>
      <c r="E55">
        <f t="shared" si="5"/>
        <v>309.9642857142858</v>
      </c>
      <c r="F55" s="5">
        <f t="shared" si="1"/>
        <v>1521</v>
      </c>
      <c r="G55">
        <v>51</v>
      </c>
    </row>
    <row r="56" spans="1:7" ht="12.75">
      <c r="A56" s="4">
        <v>13210</v>
      </c>
      <c r="B56" s="8">
        <v>1.5</v>
      </c>
      <c r="C56" s="5">
        <f>EOMONTH(A56,0)-A56+1</f>
        <v>31</v>
      </c>
      <c r="D56">
        <f t="shared" si="6"/>
        <v>6.642857142857143</v>
      </c>
      <c r="E56">
        <f t="shared" si="5"/>
        <v>316.60714285714295</v>
      </c>
      <c r="F56" s="5">
        <f t="shared" si="1"/>
        <v>1552</v>
      </c>
      <c r="G56">
        <v>52</v>
      </c>
    </row>
    <row r="57" spans="1:7" ht="12.75">
      <c r="A57" s="4">
        <v>13241</v>
      </c>
      <c r="B57" s="8">
        <v>1.75</v>
      </c>
      <c r="C57" s="5">
        <f>EOMONTH(A57,0)-A57+1</f>
        <v>30</v>
      </c>
      <c r="D57">
        <f t="shared" si="6"/>
        <v>7.5</v>
      </c>
      <c r="E57">
        <f t="shared" si="5"/>
        <v>324.10714285714295</v>
      </c>
      <c r="F57" s="5">
        <f t="shared" si="1"/>
        <v>1582</v>
      </c>
      <c r="G57">
        <v>53</v>
      </c>
    </row>
    <row r="58" spans="1:7" ht="12.75">
      <c r="A58" s="4">
        <v>13271</v>
      </c>
      <c r="B58" s="8">
        <v>1.75</v>
      </c>
      <c r="C58" s="5">
        <f>EOMONTH(A58,0)-A58+1</f>
        <v>31</v>
      </c>
      <c r="D58">
        <f t="shared" si="6"/>
        <v>7.75</v>
      </c>
      <c r="E58">
        <f t="shared" si="5"/>
        <v>331.85714285714295</v>
      </c>
      <c r="F58" s="5">
        <f t="shared" si="1"/>
        <v>1613</v>
      </c>
      <c r="G58">
        <v>54</v>
      </c>
    </row>
    <row r="59" spans="1:7" ht="12.75">
      <c r="A59" s="4">
        <v>13302</v>
      </c>
      <c r="B59" s="8">
        <v>1.75</v>
      </c>
      <c r="C59" s="5">
        <f>EOMONTH(A59,0)-A59+1</f>
        <v>30</v>
      </c>
      <c r="D59">
        <f t="shared" si="6"/>
        <v>7.5</v>
      </c>
      <c r="E59">
        <f t="shared" si="5"/>
        <v>339.35714285714295</v>
      </c>
      <c r="F59" s="5">
        <f t="shared" si="1"/>
        <v>1643</v>
      </c>
      <c r="G59">
        <v>55</v>
      </c>
    </row>
    <row r="60" spans="1:7" ht="12.75">
      <c r="A60" s="4">
        <v>13332</v>
      </c>
      <c r="B60" s="8">
        <v>1.75</v>
      </c>
      <c r="C60" s="5">
        <f>EOMONTH(A60,0)-A60+1</f>
        <v>31</v>
      </c>
      <c r="D60">
        <f t="shared" si="6"/>
        <v>7.75</v>
      </c>
      <c r="E60">
        <f t="shared" si="5"/>
        <v>347.10714285714295</v>
      </c>
      <c r="F60" s="5">
        <f t="shared" si="1"/>
        <v>1674</v>
      </c>
      <c r="G60">
        <v>56</v>
      </c>
    </row>
    <row r="61" spans="1:7" ht="12.75">
      <c r="A61" s="4">
        <v>13363</v>
      </c>
      <c r="B61" s="8">
        <v>1.75</v>
      </c>
      <c r="C61" s="5">
        <f>EOMONTH(A61,0)-A61+1</f>
        <v>31</v>
      </c>
      <c r="D61">
        <f t="shared" si="6"/>
        <v>7.75</v>
      </c>
      <c r="E61">
        <f t="shared" si="5"/>
        <v>354.85714285714295</v>
      </c>
      <c r="F61" s="5">
        <f t="shared" si="1"/>
        <v>1705</v>
      </c>
      <c r="G61">
        <v>57</v>
      </c>
    </row>
    <row r="62" spans="1:7" ht="12.75">
      <c r="A62" s="4">
        <v>13394</v>
      </c>
      <c r="B62" s="8">
        <v>1.75</v>
      </c>
      <c r="C62" s="5">
        <f>EOMONTH(A62,0)-A62+1</f>
        <v>30</v>
      </c>
      <c r="D62">
        <f t="shared" si="6"/>
        <v>7.5</v>
      </c>
      <c r="E62">
        <f t="shared" si="5"/>
        <v>362.35714285714295</v>
      </c>
      <c r="F62" s="5">
        <f t="shared" si="1"/>
        <v>1735</v>
      </c>
      <c r="G62">
        <v>58</v>
      </c>
    </row>
    <row r="63" spans="1:7" ht="12.75">
      <c r="A63" s="4">
        <v>13424</v>
      </c>
      <c r="B63" s="8">
        <v>1.75</v>
      </c>
      <c r="C63" s="5">
        <f>EOMONTH(A63,0)-A63+1</f>
        <v>31</v>
      </c>
      <c r="D63">
        <f t="shared" si="6"/>
        <v>7.75</v>
      </c>
      <c r="E63">
        <f t="shared" si="5"/>
        <v>370.10714285714295</v>
      </c>
      <c r="F63" s="5">
        <f t="shared" si="1"/>
        <v>1766</v>
      </c>
      <c r="G63">
        <v>59</v>
      </c>
    </row>
    <row r="64" spans="1:7" ht="12.75">
      <c r="A64" s="4">
        <v>13455</v>
      </c>
      <c r="B64" s="8">
        <v>1.75</v>
      </c>
      <c r="C64" s="5">
        <f>EOMONTH(A64,0)-A64+1</f>
        <v>30</v>
      </c>
      <c r="D64">
        <f t="shared" si="6"/>
        <v>7.5</v>
      </c>
      <c r="E64">
        <f t="shared" si="5"/>
        <v>377.60714285714295</v>
      </c>
      <c r="F64" s="5">
        <f t="shared" si="1"/>
        <v>1796</v>
      </c>
      <c r="G64">
        <v>60</v>
      </c>
    </row>
    <row r="65" spans="1:7" ht="12.75">
      <c r="A65" s="4">
        <v>13485</v>
      </c>
      <c r="B65" s="8">
        <v>1.75</v>
      </c>
      <c r="C65" s="5">
        <f>EOMONTH(A65,0)-A65+1</f>
        <v>31</v>
      </c>
      <c r="D65">
        <f t="shared" si="6"/>
        <v>7.75</v>
      </c>
      <c r="E65">
        <f t="shared" si="5"/>
        <v>385.35714285714295</v>
      </c>
      <c r="F65" s="5">
        <f t="shared" si="1"/>
        <v>1827</v>
      </c>
      <c r="G65">
        <v>61</v>
      </c>
    </row>
    <row r="67" ht="12.75">
      <c r="A67" s="34" t="s">
        <v>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Cooper</dc:creator>
  <cp:keywords/>
  <dc:description/>
  <cp:lastModifiedBy>Iver Cooper</cp:lastModifiedBy>
  <dcterms:created xsi:type="dcterms:W3CDTF">2007-01-18T03:22:32Z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